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none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brigitta.andrasi\AppData\Local\Microsoft\Windows\INetCache\Content.Outlook\2ET5PQIY\"/>
    </mc:Choice>
  </mc:AlternateContent>
  <bookViews>
    <workbookView xWindow="0" yWindow="0" windowWidth="28800" windowHeight="12180" tabRatio="603"/>
  </bookViews>
  <sheets>
    <sheet name="JKN 2024 év elszámoló tábla " sheetId="2" r:id="rId1"/>
  </sheets>
  <externalReferences>
    <externalReference r:id="rId2"/>
  </externalReferences>
  <definedNames>
    <definedName name="_xlnm._FilterDatabase" localSheetId="0" hidden="1">'JKN 2024 év elszámoló tábla '!$A$1:$CJ$200</definedName>
    <definedName name="L_afavissza">[1]Hatter!$B$142:$B$143</definedName>
    <definedName name="_xlnm.Print_Titles" localSheetId="0">'JKN 2024 év elszámoló tábla '!$B:$B</definedName>
    <definedName name="_xlnm.Print_Area" localSheetId="0">'JKN 2024 év elszámoló tábla '!$B$4:$BM$63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2" l="1"/>
  <c r="BH45" i="2" l="1"/>
  <c r="BN45" i="2" s="1"/>
  <c r="BN46" i="2" s="1"/>
  <c r="BH58" i="2"/>
  <c r="BH57" i="2"/>
  <c r="BH56" i="2"/>
  <c r="BN56" i="2" s="1"/>
  <c r="BH55" i="2"/>
  <c r="BH54" i="2"/>
  <c r="BH53" i="2"/>
  <c r="BH52" i="2"/>
  <c r="BH51" i="2"/>
  <c r="BN51" i="2" s="1"/>
  <c r="BH50" i="2"/>
  <c r="BH34" i="2"/>
  <c r="BH35" i="2"/>
  <c r="BH36" i="2"/>
  <c r="BH37" i="2"/>
  <c r="BH38" i="2"/>
  <c r="BH39" i="2"/>
  <c r="BH40" i="2"/>
  <c r="BH41" i="2"/>
  <c r="BH42" i="2"/>
  <c r="BH43" i="2"/>
  <c r="BH19" i="2"/>
  <c r="BH20" i="2"/>
  <c r="BH21" i="2"/>
  <c r="BH22" i="2"/>
  <c r="BH23" i="2"/>
  <c r="BH24" i="2"/>
  <c r="BH25" i="2"/>
  <c r="BH26" i="2"/>
  <c r="BH27" i="2"/>
  <c r="BH28" i="2"/>
  <c r="BN28" i="2" s="1"/>
  <c r="BH29" i="2"/>
  <c r="BH30" i="2"/>
  <c r="BN30" i="2" s="1"/>
  <c r="BH31" i="2"/>
  <c r="BH32" i="2"/>
  <c r="BN32" i="2" s="1"/>
  <c r="BH33" i="2"/>
  <c r="BN33" i="2"/>
  <c r="BI19" i="2"/>
  <c r="BI20" i="2"/>
  <c r="BI21" i="2"/>
  <c r="BI22" i="2"/>
  <c r="BI23" i="2"/>
  <c r="BI24" i="2"/>
  <c r="BI25" i="2"/>
  <c r="BI26" i="2"/>
  <c r="BI27" i="2"/>
  <c r="BI28" i="2"/>
  <c r="BN29" i="2"/>
  <c r="BI29" i="2"/>
  <c r="BI30" i="2"/>
  <c r="BO30" i="2" s="1"/>
  <c r="BI31" i="2"/>
  <c r="BI32" i="2"/>
  <c r="BO32" i="2" s="1"/>
  <c r="BI33" i="2"/>
  <c r="BN34" i="2"/>
  <c r="BI34" i="2"/>
  <c r="BN35" i="2"/>
  <c r="BI35" i="2"/>
  <c r="BI36" i="2"/>
  <c r="BO36" i="2" s="1"/>
  <c r="BI37" i="2"/>
  <c r="BI38" i="2"/>
  <c r="BI39" i="2"/>
  <c r="BI40" i="2"/>
  <c r="BN41" i="2"/>
  <c r="BI41" i="2"/>
  <c r="BI42" i="2"/>
  <c r="BO42" i="2" s="1"/>
  <c r="BI43" i="2"/>
  <c r="BG20" i="2"/>
  <c r="BG21" i="2"/>
  <c r="BG22" i="2"/>
  <c r="BG44" i="2" s="1"/>
  <c r="BG47" i="2" s="1"/>
  <c r="BG23" i="2"/>
  <c r="BG24" i="2"/>
  <c r="BG25" i="2"/>
  <c r="BG26" i="2"/>
  <c r="BG27" i="2"/>
  <c r="BG28" i="2"/>
  <c r="BG29" i="2"/>
  <c r="BG30" i="2"/>
  <c r="BG31" i="2"/>
  <c r="BG32" i="2"/>
  <c r="BG33" i="2"/>
  <c r="BG34" i="2"/>
  <c r="BM34" i="2" s="1"/>
  <c r="BG35" i="2"/>
  <c r="BG36" i="2"/>
  <c r="BG37" i="2"/>
  <c r="BG38" i="2"/>
  <c r="BG39" i="2"/>
  <c r="BG40" i="2"/>
  <c r="BG41" i="2"/>
  <c r="BG42" i="2"/>
  <c r="BG43" i="2"/>
  <c r="BG19" i="2"/>
  <c r="BC60" i="2"/>
  <c r="BB60" i="2"/>
  <c r="BA60" i="2"/>
  <c r="F60" i="2"/>
  <c r="BL47" i="2"/>
  <c r="BK47" i="2"/>
  <c r="BJ47" i="2"/>
  <c r="BF47" i="2"/>
  <c r="BE47" i="2"/>
  <c r="BD47" i="2"/>
  <c r="BC47" i="2"/>
  <c r="BB47" i="2"/>
  <c r="BA47" i="2"/>
  <c r="AZ47" i="2"/>
  <c r="AY47" i="2"/>
  <c r="AX47" i="2"/>
  <c r="AW47" i="2"/>
  <c r="AV47" i="2"/>
  <c r="AU47" i="2"/>
  <c r="AT47" i="2"/>
  <c r="AS47" i="2"/>
  <c r="AR47" i="2"/>
  <c r="AP47" i="2"/>
  <c r="AO47" i="2"/>
  <c r="AN47" i="2"/>
  <c r="AM47" i="2"/>
  <c r="AL47" i="2"/>
  <c r="AJ47" i="2"/>
  <c r="AI47" i="2"/>
  <c r="AH47" i="2"/>
  <c r="AG47" i="2"/>
  <c r="AF47" i="2"/>
  <c r="AE47" i="2"/>
  <c r="AD47" i="2"/>
  <c r="AC47" i="2"/>
  <c r="AB47" i="2"/>
  <c r="AA47" i="2"/>
  <c r="Z47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BO46" i="2"/>
  <c r="BM46" i="2"/>
  <c r="BL46" i="2"/>
  <c r="BK46" i="2"/>
  <c r="BJ46" i="2"/>
  <c r="BI46" i="2"/>
  <c r="BG46" i="2"/>
  <c r="BF46" i="2"/>
  <c r="BE46" i="2"/>
  <c r="BD46" i="2"/>
  <c r="BC46" i="2"/>
  <c r="BB46" i="2"/>
  <c r="BA46" i="2"/>
  <c r="AZ46" i="2"/>
  <c r="AY46" i="2"/>
  <c r="AX46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BL44" i="2"/>
  <c r="BK44" i="2"/>
  <c r="BJ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P44" i="2"/>
  <c r="AO44" i="2"/>
  <c r="AN44" i="2"/>
  <c r="AM44" i="2"/>
  <c r="AL44" i="2"/>
  <c r="AK44" i="2"/>
  <c r="AK47" i="2" s="1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BH13" i="2"/>
  <c r="BI13" i="2"/>
  <c r="BH14" i="2"/>
  <c r="BI14" i="2"/>
  <c r="BH15" i="2"/>
  <c r="BI15" i="2"/>
  <c r="BH16" i="2"/>
  <c r="BI16" i="2"/>
  <c r="BH17" i="2"/>
  <c r="BI17" i="2"/>
  <c r="BI50" i="2"/>
  <c r="BI51" i="2"/>
  <c r="BO51" i="2" s="1"/>
  <c r="BI52" i="2"/>
  <c r="BI53" i="2"/>
  <c r="BI54" i="2"/>
  <c r="BO54" i="2" s="1"/>
  <c r="BI55" i="2"/>
  <c r="BO55" i="2" s="1"/>
  <c r="BI56" i="2"/>
  <c r="BN57" i="2"/>
  <c r="BI57" i="2"/>
  <c r="BO57" i="2" s="1"/>
  <c r="BI58" i="2"/>
  <c r="BI45" i="2"/>
  <c r="AY20" i="2"/>
  <c r="AY21" i="2"/>
  <c r="AY22" i="2"/>
  <c r="AY23" i="2"/>
  <c r="AY24" i="2"/>
  <c r="AY25" i="2"/>
  <c r="AY26" i="2"/>
  <c r="AY27" i="2"/>
  <c r="BO27" i="2" s="1"/>
  <c r="AY28" i="2"/>
  <c r="AY29" i="2"/>
  <c r="AY30" i="2"/>
  <c r="AY31" i="2"/>
  <c r="AY32" i="2"/>
  <c r="AY33" i="2"/>
  <c r="AY34" i="2"/>
  <c r="AY35" i="2"/>
  <c r="AY36" i="2"/>
  <c r="AY37" i="2"/>
  <c r="AY38" i="2"/>
  <c r="AY39" i="2"/>
  <c r="AY40" i="2"/>
  <c r="AY41" i="2"/>
  <c r="AY42" i="2"/>
  <c r="AY43" i="2"/>
  <c r="AQ20" i="2"/>
  <c r="AQ21" i="2"/>
  <c r="AQ22" i="2"/>
  <c r="AQ23" i="2"/>
  <c r="AQ24" i="2"/>
  <c r="AQ25" i="2"/>
  <c r="AQ26" i="2"/>
  <c r="AQ44" i="2" s="1"/>
  <c r="AQ47" i="2" s="1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K23" i="2"/>
  <c r="K24" i="2"/>
  <c r="K25" i="2"/>
  <c r="K26" i="2"/>
  <c r="K27" i="2"/>
  <c r="K28" i="2"/>
  <c r="K29" i="2"/>
  <c r="K30" i="2"/>
  <c r="K31" i="2"/>
  <c r="K32" i="2"/>
  <c r="K33" i="2"/>
  <c r="K34" i="2"/>
  <c r="BO34" i="2" s="1"/>
  <c r="K35" i="2"/>
  <c r="K36" i="2"/>
  <c r="K37" i="2"/>
  <c r="K38" i="2"/>
  <c r="K39" i="2"/>
  <c r="K40" i="2"/>
  <c r="K41" i="2"/>
  <c r="K42" i="2"/>
  <c r="K43" i="2"/>
  <c r="BG50" i="2"/>
  <c r="BM50" i="2" s="1"/>
  <c r="BN50" i="2"/>
  <c r="BO50" i="2"/>
  <c r="BJ50" i="2"/>
  <c r="BK50" i="2"/>
  <c r="BL50" i="2"/>
  <c r="BL58" i="2"/>
  <c r="BK58" i="2"/>
  <c r="BJ58" i="2"/>
  <c r="BO58" i="2"/>
  <c r="BN58" i="2"/>
  <c r="BG58" i="2"/>
  <c r="BM58" i="2" s="1"/>
  <c r="BM57" i="2"/>
  <c r="BL57" i="2"/>
  <c r="BK57" i="2"/>
  <c r="BJ57" i="2"/>
  <c r="BG57" i="2"/>
  <c r="BL56" i="2"/>
  <c r="BK56" i="2"/>
  <c r="BJ56" i="2"/>
  <c r="BO56" i="2"/>
  <c r="BG56" i="2"/>
  <c r="BM56" i="2" s="1"/>
  <c r="BL55" i="2"/>
  <c r="BK55" i="2"/>
  <c r="BJ55" i="2"/>
  <c r="BN55" i="2"/>
  <c r="BG55" i="2"/>
  <c r="BM55" i="2" s="1"/>
  <c r="BL54" i="2"/>
  <c r="BK54" i="2"/>
  <c r="BJ54" i="2"/>
  <c r="BN54" i="2"/>
  <c r="BG54" i="2"/>
  <c r="BM54" i="2" s="1"/>
  <c r="BO53" i="2"/>
  <c r="BM53" i="2"/>
  <c r="BL53" i="2"/>
  <c r="BK53" i="2"/>
  <c r="BJ53" i="2"/>
  <c r="BN53" i="2"/>
  <c r="BG53" i="2"/>
  <c r="BL52" i="2"/>
  <c r="BK52" i="2"/>
  <c r="BJ52" i="2"/>
  <c r="BO52" i="2"/>
  <c r="BN52" i="2"/>
  <c r="BG52" i="2"/>
  <c r="BM52" i="2" s="1"/>
  <c r="BL51" i="2"/>
  <c r="BK51" i="2"/>
  <c r="BJ51" i="2"/>
  <c r="BG51" i="2"/>
  <c r="BM51" i="2" s="1"/>
  <c r="BL45" i="2"/>
  <c r="BK45" i="2"/>
  <c r="BJ45" i="2"/>
  <c r="BO45" i="2"/>
  <c r="BG45" i="2"/>
  <c r="BM45" i="2" s="1"/>
  <c r="BM27" i="2"/>
  <c r="BJ27" i="2"/>
  <c r="BK27" i="2"/>
  <c r="BL27" i="2"/>
  <c r="BN27" i="2"/>
  <c r="BM28" i="2"/>
  <c r="BO28" i="2"/>
  <c r="BJ28" i="2"/>
  <c r="BK28" i="2"/>
  <c r="BL28" i="2"/>
  <c r="BM29" i="2"/>
  <c r="BJ29" i="2"/>
  <c r="BK29" i="2"/>
  <c r="BL29" i="2"/>
  <c r="BJ30" i="2"/>
  <c r="BK30" i="2"/>
  <c r="BL30" i="2"/>
  <c r="BM30" i="2"/>
  <c r="BM31" i="2"/>
  <c r="BJ31" i="2"/>
  <c r="BK31" i="2"/>
  <c r="BL31" i="2"/>
  <c r="BN31" i="2"/>
  <c r="BM32" i="2"/>
  <c r="BJ32" i="2"/>
  <c r="BK32" i="2"/>
  <c r="BL32" i="2"/>
  <c r="BM33" i="2"/>
  <c r="BO33" i="2"/>
  <c r="BJ33" i="2"/>
  <c r="BK33" i="2"/>
  <c r="BL33" i="2"/>
  <c r="BJ34" i="2"/>
  <c r="BK34" i="2"/>
  <c r="BL34" i="2"/>
  <c r="BJ35" i="2"/>
  <c r="BK35" i="2"/>
  <c r="BL35" i="2"/>
  <c r="BM35" i="2"/>
  <c r="BM36" i="2"/>
  <c r="BN36" i="2"/>
  <c r="BJ36" i="2"/>
  <c r="BK36" i="2"/>
  <c r="BL36" i="2"/>
  <c r="BM37" i="2"/>
  <c r="BN37" i="2"/>
  <c r="BO37" i="2"/>
  <c r="BJ37" i="2"/>
  <c r="BK37" i="2"/>
  <c r="BL37" i="2"/>
  <c r="BO38" i="2"/>
  <c r="BJ38" i="2"/>
  <c r="BK38" i="2"/>
  <c r="BL38" i="2"/>
  <c r="BM38" i="2"/>
  <c r="BJ39" i="2"/>
  <c r="BK39" i="2"/>
  <c r="BL39" i="2"/>
  <c r="BM39" i="2"/>
  <c r="BN39" i="2"/>
  <c r="BM40" i="2"/>
  <c r="BN40" i="2"/>
  <c r="BO40" i="2"/>
  <c r="BJ40" i="2"/>
  <c r="BK40" i="2"/>
  <c r="BL40" i="2"/>
  <c r="BM41" i="2"/>
  <c r="BJ41" i="2"/>
  <c r="BK41" i="2"/>
  <c r="BL41" i="2"/>
  <c r="BJ42" i="2"/>
  <c r="BK42" i="2"/>
  <c r="BN42" i="2" s="1"/>
  <c r="BL42" i="2"/>
  <c r="BM42" i="2"/>
  <c r="BJ43" i="2"/>
  <c r="BK43" i="2"/>
  <c r="BL43" i="2"/>
  <c r="BM43" i="2"/>
  <c r="BN43" i="2"/>
  <c r="BI44" i="2" l="1"/>
  <c r="BI47" i="2" s="1"/>
  <c r="BH46" i="2"/>
  <c r="BH44" i="2"/>
  <c r="BH47" i="2" s="1"/>
  <c r="BN38" i="2"/>
  <c r="BO41" i="2"/>
  <c r="BO29" i="2"/>
  <c r="BO31" i="2"/>
  <c r="BO43" i="2"/>
  <c r="BO39" i="2"/>
  <c r="BO35" i="2"/>
  <c r="Z45" i="2" l="1"/>
  <c r="BK61" i="2" l="1"/>
  <c r="BJ61" i="2"/>
  <c r="BE63" i="2"/>
  <c r="AS63" i="2"/>
  <c r="AM63" i="2"/>
  <c r="AJ63" i="2"/>
  <c r="AG63" i="2"/>
  <c r="AD63" i="2"/>
  <c r="Z63" i="2"/>
  <c r="D94" i="2"/>
  <c r="Z22" i="2" l="1"/>
  <c r="Z25" i="2"/>
  <c r="Z56" i="2"/>
  <c r="P19" i="2"/>
  <c r="D63" i="2" l="1"/>
  <c r="S63" i="2"/>
  <c r="BS63" i="2"/>
  <c r="BQ63" i="2"/>
  <c r="E93" i="2"/>
  <c r="BF61" i="2"/>
  <c r="AX61" i="2"/>
  <c r="AW61" i="2"/>
  <c r="AT61" i="2"/>
  <c r="AY61" i="2" s="1"/>
  <c r="AP61" i="2"/>
  <c r="AN61" i="2"/>
  <c r="AK61" i="2"/>
  <c r="AH61" i="2"/>
  <c r="AA61" i="2"/>
  <c r="BL61" i="2" l="1"/>
  <c r="W61" i="2"/>
  <c r="V61" i="2"/>
  <c r="T61" i="2"/>
  <c r="X61" i="2" l="1"/>
  <c r="J54" i="2"/>
  <c r="G63" i="2" l="1"/>
  <c r="J61" i="2" l="1"/>
  <c r="BH61" i="2" s="1"/>
  <c r="BN61" i="2" s="1"/>
  <c r="I61" i="2"/>
  <c r="K61" i="2" l="1"/>
  <c r="AV59" i="2"/>
  <c r="AZ59" i="2"/>
  <c r="D82" i="2" l="1"/>
  <c r="D80" i="2"/>
  <c r="D90" i="2"/>
  <c r="E90" i="2" s="1"/>
  <c r="D87" i="2"/>
  <c r="Z59" i="2"/>
  <c r="AD20" i="2"/>
  <c r="AS24" i="2"/>
  <c r="AJ24" i="2"/>
  <c r="AG24" i="2"/>
  <c r="AD24" i="2"/>
  <c r="BE22" i="2"/>
  <c r="AJ22" i="2"/>
  <c r="G22" i="2"/>
  <c r="AG22" i="2"/>
  <c r="AD22" i="2"/>
  <c r="D26" i="2"/>
  <c r="G26" i="2"/>
  <c r="AS21" i="2"/>
  <c r="D21" i="2"/>
  <c r="AJ21" i="2"/>
  <c r="G21" i="2"/>
  <c r="AG21" i="2"/>
  <c r="Z21" i="2"/>
  <c r="AD21" i="2"/>
  <c r="S21" i="2"/>
  <c r="AS19" i="2"/>
  <c r="AG19" i="2"/>
  <c r="Z19" i="2"/>
  <c r="AD19" i="2"/>
  <c r="AS45" i="2"/>
  <c r="G45" i="2"/>
  <c r="AD45" i="2"/>
  <c r="BK19" i="2" l="1"/>
  <c r="BK20" i="2"/>
  <c r="BK21" i="2"/>
  <c r="BK22" i="2"/>
  <c r="BK23" i="2"/>
  <c r="BK24" i="2"/>
  <c r="BK25" i="2"/>
  <c r="BK26" i="2"/>
  <c r="BK14" i="2"/>
  <c r="BK15" i="2"/>
  <c r="BK16" i="2"/>
  <c r="BK13" i="2"/>
  <c r="AX14" i="2" l="1"/>
  <c r="AX15" i="2"/>
  <c r="AX16" i="2"/>
  <c r="AX17" i="2"/>
  <c r="D45" i="2" l="1"/>
  <c r="AO45" i="2"/>
  <c r="BK17" i="2"/>
  <c r="BD13" i="2"/>
  <c r="AP15" i="2"/>
  <c r="AS32" i="2" l="1"/>
  <c r="AX40" i="2"/>
  <c r="AJ45" i="2"/>
  <c r="AG45" i="2"/>
  <c r="AG34" i="2"/>
  <c r="AP45" i="2" l="1"/>
  <c r="AX45" i="2" l="1"/>
  <c r="BF45" i="2"/>
  <c r="AT45" i="2"/>
  <c r="AY45" i="2" s="1"/>
  <c r="BJ19" i="2" l="1"/>
  <c r="BJ23" i="2"/>
  <c r="BJ24" i="2"/>
  <c r="BJ26" i="2"/>
  <c r="BJ14" i="2"/>
  <c r="BJ15" i="2"/>
  <c r="BL15" i="2" s="1"/>
  <c r="BL14" i="2" l="1"/>
  <c r="BC33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5" i="2"/>
  <c r="AP36" i="2"/>
  <c r="AP37" i="2"/>
  <c r="AP38" i="2"/>
  <c r="AP39" i="2"/>
  <c r="AP40" i="2"/>
  <c r="AP41" i="2"/>
  <c r="AP42" i="2"/>
  <c r="AP43" i="2"/>
  <c r="J35" i="2"/>
  <c r="BF19" i="2"/>
  <c r="BF27" i="2"/>
  <c r="BF28" i="2"/>
  <c r="BF29" i="2"/>
  <c r="BF30" i="2"/>
  <c r="BF31" i="2"/>
  <c r="BF32" i="2"/>
  <c r="BF33" i="2"/>
  <c r="BF34" i="2"/>
  <c r="BF35" i="2"/>
  <c r="BF36" i="2"/>
  <c r="BF37" i="2"/>
  <c r="BF38" i="2"/>
  <c r="BF39" i="2"/>
  <c r="BF40" i="2"/>
  <c r="BF41" i="2"/>
  <c r="BF42" i="2"/>
  <c r="BF43" i="2"/>
  <c r="BF20" i="2"/>
  <c r="BF21" i="2"/>
  <c r="BF22" i="2"/>
  <c r="BF23" i="2"/>
  <c r="BF24" i="2"/>
  <c r="BF25" i="2"/>
  <c r="BF26" i="2"/>
  <c r="BF15" i="2"/>
  <c r="H45" i="2"/>
  <c r="AP58" i="2"/>
  <c r="AP52" i="2"/>
  <c r="AP53" i="2"/>
  <c r="AP54" i="2"/>
  <c r="AP55" i="2"/>
  <c r="AP51" i="2"/>
  <c r="AO51" i="2"/>
  <c r="AP13" i="2"/>
  <c r="AA31" i="2"/>
  <c r="AA32" i="2"/>
  <c r="AA33" i="2"/>
  <c r="AA34" i="2"/>
  <c r="AA35" i="2"/>
  <c r="AA36" i="2"/>
  <c r="AA37" i="2"/>
  <c r="AA38" i="2"/>
  <c r="AA39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AP34" i="2" l="1"/>
  <c r="AK45" i="2" l="1"/>
  <c r="J45" i="2" l="1"/>
  <c r="J27" i="2"/>
  <c r="J28" i="2"/>
  <c r="J29" i="2"/>
  <c r="J30" i="2"/>
  <c r="J32" i="2"/>
  <c r="J33" i="2"/>
  <c r="J34" i="2"/>
  <c r="J36" i="2"/>
  <c r="J37" i="2"/>
  <c r="J38" i="2"/>
  <c r="J39" i="2"/>
  <c r="J40" i="2"/>
  <c r="J41" i="2"/>
  <c r="J42" i="2"/>
  <c r="J43" i="2"/>
  <c r="J25" i="2"/>
  <c r="J26" i="2"/>
  <c r="J20" i="2"/>
  <c r="J21" i="2"/>
  <c r="J22" i="2"/>
  <c r="J23" i="2"/>
  <c r="J24" i="2"/>
  <c r="J19" i="2"/>
  <c r="J14" i="2"/>
  <c r="J15" i="2"/>
  <c r="J16" i="2"/>
  <c r="J17" i="2"/>
  <c r="J13" i="2"/>
  <c r="H19" i="2"/>
  <c r="K45" i="2" l="1"/>
  <c r="AC22" i="2" l="1"/>
  <c r="Q34" i="2" l="1"/>
  <c r="Q35" i="2"/>
  <c r="Q36" i="2"/>
  <c r="Q37" i="2"/>
  <c r="Q38" i="2"/>
  <c r="Q39" i="2"/>
  <c r="Q40" i="2"/>
  <c r="Q41" i="2"/>
  <c r="Q42" i="2"/>
  <c r="Q43" i="2"/>
  <c r="J52" i="2"/>
  <c r="J53" i="2"/>
  <c r="J55" i="2"/>
  <c r="J56" i="2"/>
  <c r="J57" i="2"/>
  <c r="J58" i="2"/>
  <c r="AT52" i="2"/>
  <c r="AT53" i="2"/>
  <c r="AT54" i="2"/>
  <c r="AT55" i="2"/>
  <c r="AT56" i="2"/>
  <c r="AT57" i="2"/>
  <c r="AT58" i="2"/>
  <c r="AT51" i="2"/>
  <c r="AH52" i="2"/>
  <c r="AH53" i="2"/>
  <c r="AH54" i="2"/>
  <c r="AH55" i="2"/>
  <c r="AH57" i="2"/>
  <c r="AH58" i="2"/>
  <c r="AG56" i="2"/>
  <c r="AH56" i="2" s="1"/>
  <c r="AP57" i="2"/>
  <c r="AE57" i="2"/>
  <c r="AE56" i="2"/>
  <c r="V52" i="2"/>
  <c r="W52" i="2" s="1"/>
  <c r="V53" i="2"/>
  <c r="W53" i="2" s="1"/>
  <c r="V54" i="2"/>
  <c r="W54" i="2" s="1"/>
  <c r="V55" i="2"/>
  <c r="W55" i="2" s="1"/>
  <c r="V56" i="2"/>
  <c r="V57" i="2"/>
  <c r="V58" i="2"/>
  <c r="W58" i="2" s="1"/>
  <c r="T57" i="2"/>
  <c r="T56" i="2"/>
  <c r="Q57" i="2"/>
  <c r="Q56" i="2"/>
  <c r="N54" i="2"/>
  <c r="N59" i="2" s="1"/>
  <c r="BE59" i="2"/>
  <c r="BF52" i="2"/>
  <c r="BF53" i="2"/>
  <c r="BF54" i="2"/>
  <c r="BF55" i="2"/>
  <c r="BF56" i="2"/>
  <c r="BF57" i="2"/>
  <c r="BF51" i="2"/>
  <c r="BF58" i="2"/>
  <c r="BC52" i="2"/>
  <c r="BC53" i="2"/>
  <c r="BC54" i="2"/>
  <c r="BC55" i="2"/>
  <c r="BC56" i="2"/>
  <c r="BC57" i="2"/>
  <c r="BC58" i="2"/>
  <c r="BC51" i="2"/>
  <c r="BB59" i="2"/>
  <c r="AN52" i="2"/>
  <c r="AN53" i="2"/>
  <c r="AN54" i="2"/>
  <c r="AN55" i="2"/>
  <c r="AN56" i="2"/>
  <c r="AN57" i="2"/>
  <c r="AN58" i="2"/>
  <c r="AN51" i="2"/>
  <c r="AM59" i="2"/>
  <c r="AJ56" i="2"/>
  <c r="AK56" i="2" s="1"/>
  <c r="AK57" i="2"/>
  <c r="AD59" i="2"/>
  <c r="AG59" i="2"/>
  <c r="BK59" i="2" l="1"/>
  <c r="AJ59" i="2"/>
  <c r="AP56" i="2"/>
  <c r="AP59" i="2" s="1"/>
  <c r="BF59" i="2"/>
  <c r="W57" i="2"/>
  <c r="X57" i="2" s="1"/>
  <c r="W56" i="2"/>
  <c r="X56" i="2" s="1"/>
  <c r="AQ56" i="2" l="1"/>
  <c r="H15" i="2"/>
  <c r="G59" i="2" l="1"/>
  <c r="E40" i="2"/>
  <c r="H56" i="2"/>
  <c r="K56" i="2" s="1"/>
  <c r="M59" i="2"/>
  <c r="C19" i="2"/>
  <c r="H61" i="2"/>
  <c r="E61" i="2"/>
  <c r="AT59" i="2"/>
  <c r="AS59" i="2"/>
  <c r="AW57" i="2"/>
  <c r="AW56" i="2"/>
  <c r="AA52" i="2"/>
  <c r="AA53" i="2"/>
  <c r="AA54" i="2"/>
  <c r="AA55" i="2"/>
  <c r="AA56" i="2"/>
  <c r="AA57" i="2"/>
  <c r="AA58" i="2"/>
  <c r="J51" i="2"/>
  <c r="J59" i="2" s="1"/>
  <c r="H57" i="2"/>
  <c r="K57" i="2" s="1"/>
  <c r="I57" i="2"/>
  <c r="AX56" i="2" l="1"/>
  <c r="AX57" i="2"/>
  <c r="AY57" i="2" l="1"/>
  <c r="AY56" i="2"/>
  <c r="AT33" i="2" l="1"/>
  <c r="AT34" i="2"/>
  <c r="AT35" i="2"/>
  <c r="AT36" i="2"/>
  <c r="AT37" i="2"/>
  <c r="AT38" i="2"/>
  <c r="AT39" i="2"/>
  <c r="AT40" i="2"/>
  <c r="AT41" i="2"/>
  <c r="AT42" i="2"/>
  <c r="AT43" i="2"/>
  <c r="AT21" i="2"/>
  <c r="AT23" i="2"/>
  <c r="AT26" i="2"/>
  <c r="AT27" i="2"/>
  <c r="AT28" i="2"/>
  <c r="AT29" i="2"/>
  <c r="AT30" i="2"/>
  <c r="AT14" i="2"/>
  <c r="AY14" i="2" s="1"/>
  <c r="AT15" i="2"/>
  <c r="AY15" i="2" s="1"/>
  <c r="AX36" i="2"/>
  <c r="AX37" i="2"/>
  <c r="AX38" i="2"/>
  <c r="AX39" i="2"/>
  <c r="AX41" i="2"/>
  <c r="AX42" i="2"/>
  <c r="AX43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3" i="2"/>
  <c r="AX34" i="2"/>
  <c r="AX35" i="2"/>
  <c r="C46" i="2" l="1"/>
  <c r="AP19" i="2"/>
  <c r="BN19" i="2" l="1"/>
  <c r="BC37" i="2"/>
  <c r="BC38" i="2"/>
  <c r="BC39" i="2"/>
  <c r="BC40" i="2"/>
  <c r="BC41" i="2"/>
  <c r="BC42" i="2"/>
  <c r="BC43" i="2"/>
  <c r="BC36" i="2"/>
  <c r="BC20" i="2"/>
  <c r="BC21" i="2"/>
  <c r="BC22" i="2"/>
  <c r="BC23" i="2"/>
  <c r="BC24" i="2"/>
  <c r="BC25" i="2"/>
  <c r="BC26" i="2"/>
  <c r="BC27" i="2"/>
  <c r="BC28" i="2"/>
  <c r="BC29" i="2"/>
  <c r="BC30" i="2"/>
  <c r="BC32" i="2"/>
  <c r="BC34" i="2"/>
  <c r="BC35" i="2"/>
  <c r="BC19" i="2"/>
  <c r="BC14" i="2"/>
  <c r="BC15" i="2"/>
  <c r="BC16" i="2"/>
  <c r="BC17" i="2"/>
  <c r="BC13" i="2"/>
  <c r="I36" i="2"/>
  <c r="I37" i="2"/>
  <c r="I38" i="2"/>
  <c r="I39" i="2"/>
  <c r="I40" i="2"/>
  <c r="I41" i="2"/>
  <c r="I42" i="2"/>
  <c r="I43" i="2"/>
  <c r="Y20" i="2"/>
  <c r="AX32" i="2" l="1"/>
  <c r="AP14" i="2" l="1"/>
  <c r="BN15" i="2"/>
  <c r="AP16" i="2"/>
  <c r="AP17" i="2"/>
  <c r="W13" i="2"/>
  <c r="AX13" i="2"/>
  <c r="AR13" i="2"/>
  <c r="AN38" i="2"/>
  <c r="AN39" i="2"/>
  <c r="AN40" i="2"/>
  <c r="AN41" i="2"/>
  <c r="AN42" i="2"/>
  <c r="AN43" i="2"/>
  <c r="AN20" i="2"/>
  <c r="AN21" i="2"/>
  <c r="AN22" i="2"/>
  <c r="AN23" i="2"/>
  <c r="AN24" i="2"/>
  <c r="AN25" i="2"/>
  <c r="AN26" i="2"/>
  <c r="AN27" i="2"/>
  <c r="AN28" i="2"/>
  <c r="AN29" i="2"/>
  <c r="AN30" i="2"/>
  <c r="AN32" i="2"/>
  <c r="AN33" i="2"/>
  <c r="AN34" i="2"/>
  <c r="AN35" i="2"/>
  <c r="AN36" i="2"/>
  <c r="AN37" i="2"/>
  <c r="AN19" i="2"/>
  <c r="AN14" i="2"/>
  <c r="AN15" i="2"/>
  <c r="BN16" i="2" l="1"/>
  <c r="BN17" i="2"/>
  <c r="BN14" i="2"/>
  <c r="AT13" i="2"/>
  <c r="AY13" i="2" s="1"/>
  <c r="N34" i="2"/>
  <c r="N35" i="2"/>
  <c r="N36" i="2"/>
  <c r="N37" i="2"/>
  <c r="N38" i="2"/>
  <c r="N39" i="2"/>
  <c r="N40" i="2"/>
  <c r="N41" i="2"/>
  <c r="N42" i="2"/>
  <c r="N43" i="2"/>
  <c r="N21" i="2"/>
  <c r="N22" i="2"/>
  <c r="N23" i="2"/>
  <c r="N24" i="2"/>
  <c r="N25" i="2"/>
  <c r="N26" i="2"/>
  <c r="N27" i="2"/>
  <c r="N28" i="2"/>
  <c r="N29" i="2"/>
  <c r="N30" i="2"/>
  <c r="N32" i="2"/>
  <c r="N33" i="2"/>
  <c r="N14" i="2"/>
  <c r="N15" i="2"/>
  <c r="N17" i="2"/>
  <c r="N13" i="2"/>
  <c r="AF34" i="2"/>
  <c r="BN13" i="2" l="1"/>
  <c r="D91" i="2"/>
  <c r="E83" i="2"/>
  <c r="E84" i="2"/>
  <c r="E85" i="2"/>
  <c r="E86" i="2"/>
  <c r="E87" i="2"/>
  <c r="E88" i="2"/>
  <c r="E89" i="2"/>
  <c r="E74" i="2"/>
  <c r="E75" i="2"/>
  <c r="E78" i="2"/>
  <c r="E79" i="2"/>
  <c r="BB49" i="2" l="1"/>
  <c r="AK52" i="2"/>
  <c r="AK53" i="2"/>
  <c r="AK54" i="2"/>
  <c r="AK55" i="2"/>
  <c r="AK58" i="2"/>
  <c r="AK51" i="2"/>
  <c r="AK27" i="2"/>
  <c r="AK28" i="2"/>
  <c r="AK29" i="2"/>
  <c r="AK30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20" i="2"/>
  <c r="AK23" i="2"/>
  <c r="AK24" i="2"/>
  <c r="AK25" i="2"/>
  <c r="AK26" i="2"/>
  <c r="AK19" i="2"/>
  <c r="AK14" i="2"/>
  <c r="AK15" i="2"/>
  <c r="AH51" i="2"/>
  <c r="AH45" i="2"/>
  <c r="AH30" i="2"/>
  <c r="AH32" i="2"/>
  <c r="AH33" i="2"/>
  <c r="AH35" i="2"/>
  <c r="AH36" i="2"/>
  <c r="AH37" i="2"/>
  <c r="AH38" i="2"/>
  <c r="AH39" i="2"/>
  <c r="AH40" i="2"/>
  <c r="AH41" i="2"/>
  <c r="AH42" i="2"/>
  <c r="AH43" i="2"/>
  <c r="AH23" i="2"/>
  <c r="BL23" i="2" s="1"/>
  <c r="AH24" i="2"/>
  <c r="BL24" i="2" s="1"/>
  <c r="AH26" i="2"/>
  <c r="BL26" i="2" s="1"/>
  <c r="AH27" i="2"/>
  <c r="AH28" i="2"/>
  <c r="AH29" i="2"/>
  <c r="AH19" i="2"/>
  <c r="BL19" i="2" s="1"/>
  <c r="AH14" i="2"/>
  <c r="AH15" i="2"/>
  <c r="AE52" i="2"/>
  <c r="AE53" i="2"/>
  <c r="AE54" i="2"/>
  <c r="AE55" i="2"/>
  <c r="AE58" i="2"/>
  <c r="AE51" i="2"/>
  <c r="AE45" i="2"/>
  <c r="AE33" i="2"/>
  <c r="AE34" i="2"/>
  <c r="AE35" i="2"/>
  <c r="AE36" i="2"/>
  <c r="AE37" i="2"/>
  <c r="AE38" i="2"/>
  <c r="AE39" i="2"/>
  <c r="AE40" i="2"/>
  <c r="AE41" i="2"/>
  <c r="AE42" i="2"/>
  <c r="AE43" i="2"/>
  <c r="AE23" i="2"/>
  <c r="AE26" i="2"/>
  <c r="AE27" i="2"/>
  <c r="AE28" i="2"/>
  <c r="AE29" i="2"/>
  <c r="AE30" i="2"/>
  <c r="AE32" i="2"/>
  <c r="AE14" i="2"/>
  <c r="AE15" i="2"/>
  <c r="AA51" i="2"/>
  <c r="AA45" i="2"/>
  <c r="AA27" i="2"/>
  <c r="AA28" i="2"/>
  <c r="AA30" i="2"/>
  <c r="AA41" i="2"/>
  <c r="AA42" i="2"/>
  <c r="AA15" i="2"/>
  <c r="AA21" i="2"/>
  <c r="AA23" i="2"/>
  <c r="AA24" i="2"/>
  <c r="AA26" i="2"/>
  <c r="X45" i="2"/>
  <c r="X41" i="2"/>
  <c r="X42" i="2"/>
  <c r="T52" i="2"/>
  <c r="T53" i="2"/>
  <c r="T54" i="2"/>
  <c r="T55" i="2"/>
  <c r="T58" i="2"/>
  <c r="T51" i="2"/>
  <c r="S59" i="2"/>
  <c r="V35" i="2"/>
  <c r="X35" i="2" s="1"/>
  <c r="T38" i="2"/>
  <c r="T39" i="2"/>
  <c r="T40" i="2"/>
  <c r="T41" i="2"/>
  <c r="T42" i="2"/>
  <c r="T43" i="2"/>
  <c r="T29" i="2"/>
  <c r="T30" i="2"/>
  <c r="T32" i="2"/>
  <c r="T33" i="2"/>
  <c r="T34" i="2"/>
  <c r="T35" i="2"/>
  <c r="T36" i="2"/>
  <c r="T37" i="2"/>
  <c r="T20" i="2"/>
  <c r="T23" i="2"/>
  <c r="T24" i="2"/>
  <c r="T26" i="2"/>
  <c r="T27" i="2"/>
  <c r="T28" i="2"/>
  <c r="T15" i="2"/>
  <c r="Q52" i="2"/>
  <c r="Q53" i="2"/>
  <c r="Q54" i="2"/>
  <c r="Q55" i="2"/>
  <c r="Q58" i="2"/>
  <c r="Q51" i="2"/>
  <c r="Q20" i="2"/>
  <c r="Q21" i="2"/>
  <c r="Q22" i="2"/>
  <c r="Q23" i="2"/>
  <c r="Q24" i="2"/>
  <c r="Q25" i="2"/>
  <c r="Q26" i="2"/>
  <c r="Q27" i="2"/>
  <c r="Q28" i="2"/>
  <c r="Q29" i="2"/>
  <c r="Q30" i="2"/>
  <c r="Q32" i="2"/>
  <c r="Q33" i="2"/>
  <c r="Q19" i="2"/>
  <c r="Q14" i="2"/>
  <c r="Q15" i="2"/>
  <c r="Q16" i="2"/>
  <c r="Q17" i="2"/>
  <c r="Q13" i="2"/>
  <c r="BN20" i="2"/>
  <c r="BN21" i="2"/>
  <c r="BN22" i="2"/>
  <c r="BN23" i="2"/>
  <c r="BN24" i="2"/>
  <c r="BN25" i="2"/>
  <c r="BN26" i="2"/>
  <c r="BN44" i="2" l="1"/>
  <c r="BN47" i="2" s="1"/>
  <c r="AQ45" i="2"/>
  <c r="AK59" i="2"/>
  <c r="AE59" i="2"/>
  <c r="AQ15" i="2"/>
  <c r="H52" i="2" l="1"/>
  <c r="H53" i="2"/>
  <c r="H54" i="2"/>
  <c r="H55" i="2"/>
  <c r="H58" i="2"/>
  <c r="H51" i="2"/>
  <c r="H41" i="2"/>
  <c r="H42" i="2"/>
  <c r="H43" i="2"/>
  <c r="H23" i="2"/>
  <c r="H24" i="2"/>
  <c r="H26" i="2"/>
  <c r="H27" i="2"/>
  <c r="H28" i="2"/>
  <c r="H29" i="2"/>
  <c r="H30" i="2"/>
  <c r="H32" i="2"/>
  <c r="H33" i="2"/>
  <c r="H34" i="2"/>
  <c r="H35" i="2"/>
  <c r="H36" i="2"/>
  <c r="H37" i="2"/>
  <c r="H38" i="2"/>
  <c r="H39" i="2"/>
  <c r="D59" i="2"/>
  <c r="E52" i="2"/>
  <c r="E53" i="2"/>
  <c r="E54" i="2"/>
  <c r="E55" i="2"/>
  <c r="E58" i="2"/>
  <c r="E51" i="2"/>
  <c r="E45" i="2"/>
  <c r="E23" i="2"/>
  <c r="E24" i="2"/>
  <c r="E26" i="2"/>
  <c r="E27" i="2"/>
  <c r="E28" i="2"/>
  <c r="E29" i="2"/>
  <c r="E30" i="2"/>
  <c r="E32" i="2"/>
  <c r="E33" i="2"/>
  <c r="E35" i="2"/>
  <c r="E36" i="2"/>
  <c r="E37" i="2"/>
  <c r="E38" i="2"/>
  <c r="E39" i="2"/>
  <c r="E41" i="2"/>
  <c r="E42" i="2"/>
  <c r="E43" i="2"/>
  <c r="E15" i="2"/>
  <c r="K15" i="2" s="1"/>
  <c r="K52" i="2" l="1"/>
  <c r="K54" i="2"/>
  <c r="K55" i="2"/>
  <c r="K58" i="2"/>
  <c r="K53" i="2"/>
  <c r="K51" i="2"/>
  <c r="H59" i="2"/>
  <c r="AI22" i="2" l="1"/>
  <c r="AK22" i="2" s="1"/>
  <c r="R25" i="2" l="1"/>
  <c r="T25" i="2" s="1"/>
  <c r="R22" i="2"/>
  <c r="T22" i="2" s="1"/>
  <c r="Y22" i="2"/>
  <c r="AA22" i="2" s="1"/>
  <c r="V30" i="2"/>
  <c r="X30" i="2" s="1"/>
  <c r="BD14" i="2" l="1"/>
  <c r="BF14" i="2" s="1"/>
  <c r="AC24" i="2"/>
  <c r="AE24" i="2" s="1"/>
  <c r="AC19" i="2"/>
  <c r="AE19" i="2" s="1"/>
  <c r="Y14" i="2"/>
  <c r="AA14" i="2" s="1"/>
  <c r="AQ14" i="2" s="1"/>
  <c r="Y13" i="2"/>
  <c r="AA13" i="2" s="1"/>
  <c r="R21" i="2"/>
  <c r="T21" i="2" s="1"/>
  <c r="R19" i="2"/>
  <c r="T19" i="2" s="1"/>
  <c r="F21" i="2"/>
  <c r="H21" i="2" s="1"/>
  <c r="H22" i="2"/>
  <c r="Y25" i="2"/>
  <c r="AA25" i="2" s="1"/>
  <c r="C80" i="2"/>
  <c r="E80" i="2" s="1"/>
  <c r="E19" i="2"/>
  <c r="K19" i="2" s="1"/>
  <c r="R14" i="2"/>
  <c r="T14" i="2" s="1"/>
  <c r="R13" i="2"/>
  <c r="T13" i="2" s="1"/>
  <c r="AR19" i="2"/>
  <c r="AT19" i="2" s="1"/>
  <c r="AY19" i="2" s="1"/>
  <c r="AR25" i="2"/>
  <c r="AT25" i="2" s="1"/>
  <c r="AR24" i="2"/>
  <c r="AT24" i="2" s="1"/>
  <c r="Y19" i="2"/>
  <c r="AA19" i="2" s="1"/>
  <c r="C22" i="2"/>
  <c r="E22" i="2" s="1"/>
  <c r="C25" i="2"/>
  <c r="E25" i="2" s="1"/>
  <c r="I24" i="2"/>
  <c r="K22" i="2" l="1"/>
  <c r="AQ19" i="2"/>
  <c r="Y16" i="2"/>
  <c r="AA16" i="2" s="1"/>
  <c r="R16" i="2" l="1"/>
  <c r="T16" i="2" s="1"/>
  <c r="AA20" i="2" l="1"/>
  <c r="Y43" i="2" l="1"/>
  <c r="AA43" i="2" s="1"/>
  <c r="Y40" i="2"/>
  <c r="AA40" i="2" s="1"/>
  <c r="AR32" i="2"/>
  <c r="AT32" i="2" s="1"/>
  <c r="AO42" i="2" l="1"/>
  <c r="AO41" i="2"/>
  <c r="AC20" i="2" l="1"/>
  <c r="AE20" i="2" s="1"/>
  <c r="C77" i="2" l="1"/>
  <c r="AE22" i="2"/>
  <c r="C14" i="2"/>
  <c r="E14" i="2" s="1"/>
  <c r="E77" i="2" l="1"/>
  <c r="C94" i="2"/>
  <c r="E94" i="2" s="1"/>
  <c r="AC61" i="2"/>
  <c r="AH34" i="2"/>
  <c r="C82" i="2"/>
  <c r="E82" i="2" s="1"/>
  <c r="C73" i="2"/>
  <c r="AE61" i="2" l="1"/>
  <c r="AO61" i="2"/>
  <c r="C76" i="2"/>
  <c r="E76" i="2" s="1"/>
  <c r="E73" i="2"/>
  <c r="AQ61" i="2" l="1"/>
  <c r="BG61" i="2"/>
  <c r="C13" i="2"/>
  <c r="E13" i="2" s="1"/>
  <c r="AF22" i="2" l="1"/>
  <c r="F25" i="2"/>
  <c r="H25" i="2" s="1"/>
  <c r="AH22" i="2" l="1"/>
  <c r="BJ22" i="2"/>
  <c r="AF13" i="2"/>
  <c r="AH13" i="2" s="1"/>
  <c r="BL22" i="2" l="1"/>
  <c r="AF17" i="2"/>
  <c r="AH17" i="2" s="1"/>
  <c r="AI17" i="2"/>
  <c r="AI13" i="2"/>
  <c r="AO27" i="2"/>
  <c r="AO28" i="2"/>
  <c r="AO29" i="2"/>
  <c r="AO30" i="2"/>
  <c r="AO32" i="2"/>
  <c r="AO33" i="2"/>
  <c r="AO34" i="2"/>
  <c r="AO35" i="2"/>
  <c r="AO36" i="2"/>
  <c r="AO37" i="2"/>
  <c r="AO38" i="2"/>
  <c r="AO39" i="2"/>
  <c r="AO40" i="2"/>
  <c r="AO43" i="2"/>
  <c r="AK17" i="2" l="1"/>
  <c r="AI63" i="2"/>
  <c r="AK63" i="2" s="1"/>
  <c r="AK13" i="2"/>
  <c r="AC17" i="2"/>
  <c r="AC13" i="2"/>
  <c r="AE13" i="2" s="1"/>
  <c r="Y17" i="2"/>
  <c r="AR17" i="2"/>
  <c r="AT17" i="2" s="1"/>
  <c r="AY17" i="2" s="1"/>
  <c r="BD17" i="2"/>
  <c r="R17" i="2"/>
  <c r="F17" i="2"/>
  <c r="H17" i="2" s="1"/>
  <c r="C17" i="2"/>
  <c r="AL17" i="2"/>
  <c r="AR16" i="2"/>
  <c r="AT16" i="2" s="1"/>
  <c r="AY16" i="2" s="1"/>
  <c r="AL13" i="2"/>
  <c r="F13" i="2"/>
  <c r="H13" i="2" s="1"/>
  <c r="K13" i="2" s="1"/>
  <c r="T17" i="2" l="1"/>
  <c r="R63" i="2"/>
  <c r="T63" i="2" s="1"/>
  <c r="AA17" i="2"/>
  <c r="Y63" i="2"/>
  <c r="AA63" i="2" s="1"/>
  <c r="BF17" i="2"/>
  <c r="BD63" i="2"/>
  <c r="BF63" i="2" s="1"/>
  <c r="AE17" i="2"/>
  <c r="AQ17" i="2" s="1"/>
  <c r="AC63" i="2"/>
  <c r="AE63" i="2" s="1"/>
  <c r="E17" i="2"/>
  <c r="C63" i="2"/>
  <c r="E63" i="2" s="1"/>
  <c r="K17" i="2"/>
  <c r="AN13" i="2"/>
  <c r="AQ13" i="2" s="1"/>
  <c r="BJ13" i="2"/>
  <c r="BL13" i="2" s="1"/>
  <c r="AN17" i="2"/>
  <c r="BJ17" i="2"/>
  <c r="BL17" i="2" s="1"/>
  <c r="BD16" i="2"/>
  <c r="BF16" i="2" s="1"/>
  <c r="BF13" i="2"/>
  <c r="AO17" i="2"/>
  <c r="BI61" i="2"/>
  <c r="BO61" i="2" s="1"/>
  <c r="N61" i="2" l="1"/>
  <c r="AR63" i="2" l="1"/>
  <c r="AT63" i="2" s="1"/>
  <c r="AL63" i="2" l="1"/>
  <c r="AN63" i="2" s="1"/>
  <c r="AI16" i="2"/>
  <c r="AK16" i="2" s="1"/>
  <c r="AF16" i="2" l="1"/>
  <c r="AH16" i="2" s="1"/>
  <c r="AF63" i="2"/>
  <c r="AH63" i="2" s="1"/>
  <c r="F63" i="2" l="1"/>
  <c r="H63" i="2" s="1"/>
  <c r="L20" i="2" l="1"/>
  <c r="L16" i="2"/>
  <c r="N20" i="2" l="1"/>
  <c r="N16" i="2"/>
  <c r="BD59" i="2"/>
  <c r="BM61" i="2" l="1"/>
  <c r="AR22" i="2"/>
  <c r="AT22" i="2" s="1"/>
  <c r="AR20" i="2" l="1"/>
  <c r="AT20" i="2" l="1"/>
  <c r="AC25" i="2"/>
  <c r="AE25" i="2" s="1"/>
  <c r="AI21" i="2" l="1"/>
  <c r="AK21" i="2" l="1"/>
  <c r="AF25" i="2"/>
  <c r="AF21" i="2"/>
  <c r="AF20" i="2"/>
  <c r="AC21" i="2"/>
  <c r="AE21" i="2" s="1"/>
  <c r="AH20" i="2" l="1"/>
  <c r="BJ20" i="2"/>
  <c r="AH21" i="2"/>
  <c r="BL21" i="2" s="1"/>
  <c r="BJ21" i="2"/>
  <c r="AH25" i="2"/>
  <c r="BJ25" i="2"/>
  <c r="F20" i="2"/>
  <c r="H20" i="2" s="1"/>
  <c r="F14" i="2"/>
  <c r="C20" i="2"/>
  <c r="E20" i="2" s="1"/>
  <c r="C21" i="2"/>
  <c r="C81" i="2"/>
  <c r="K20" i="2" l="1"/>
  <c r="BL25" i="2"/>
  <c r="BL20" i="2"/>
  <c r="H14" i="2"/>
  <c r="K14" i="2" s="1"/>
  <c r="E21" i="2"/>
  <c r="K21" i="2" s="1"/>
  <c r="E81" i="2"/>
  <c r="C91" i="2"/>
  <c r="AC16" i="2"/>
  <c r="AW39" i="2"/>
  <c r="BA49" i="2" l="1"/>
  <c r="BC49" i="2" s="1"/>
  <c r="AE16" i="2"/>
  <c r="F16" i="2"/>
  <c r="H16" i="2" s="1"/>
  <c r="C16" i="2" l="1"/>
  <c r="I13" i="2"/>
  <c r="C44" i="2" l="1"/>
  <c r="E16" i="2"/>
  <c r="K16" i="2" s="1"/>
  <c r="I14" i="2"/>
  <c r="I16" i="2" s="1"/>
  <c r="AL16" i="2"/>
  <c r="AN16" i="2" l="1"/>
  <c r="BJ16" i="2"/>
  <c r="BL16" i="2" s="1"/>
  <c r="AQ16" i="2"/>
  <c r="I35" i="2"/>
  <c r="V40" i="2"/>
  <c r="X40" i="2" s="1"/>
  <c r="V39" i="2"/>
  <c r="X39" i="2" s="1"/>
  <c r="AW35" i="2"/>
  <c r="AW36" i="2"/>
  <c r="I32" i="2"/>
  <c r="I33" i="2"/>
  <c r="I34" i="2"/>
  <c r="V32" i="2"/>
  <c r="X32" i="2" s="1"/>
  <c r="V33" i="2"/>
  <c r="X33" i="2" s="1"/>
  <c r="V34" i="2"/>
  <c r="X34" i="2" s="1"/>
  <c r="V36" i="2"/>
  <c r="X36" i="2" s="1"/>
  <c r="V37" i="2"/>
  <c r="X37" i="2" s="1"/>
  <c r="AW32" i="2"/>
  <c r="AW33" i="2"/>
  <c r="AW34" i="2"/>
  <c r="BA59" i="2" l="1"/>
  <c r="BC59" i="2" s="1"/>
  <c r="AO24" i="2" l="1"/>
  <c r="AW38" i="2" l="1"/>
  <c r="V38" i="2"/>
  <c r="X38" i="2" s="1"/>
  <c r="AW37" i="2" l="1"/>
  <c r="V13" i="2" l="1"/>
  <c r="X13" i="2" l="1"/>
  <c r="AO14" i="2"/>
  <c r="AO15" i="2"/>
  <c r="AO20" i="2"/>
  <c r="AO21" i="2"/>
  <c r="AO23" i="2"/>
  <c r="AO26" i="2"/>
  <c r="AQ51" i="2"/>
  <c r="AO52" i="2"/>
  <c r="AQ52" i="2" s="1"/>
  <c r="AO53" i="2"/>
  <c r="AQ53" i="2" s="1"/>
  <c r="AO54" i="2"/>
  <c r="AQ54" i="2" s="1"/>
  <c r="AO55" i="2"/>
  <c r="AQ55" i="2" s="1"/>
  <c r="AO58" i="2"/>
  <c r="AQ58" i="2" s="1"/>
  <c r="AO13" i="2"/>
  <c r="BO13" i="2" l="1"/>
  <c r="AQ59" i="2"/>
  <c r="AO25" i="2" l="1"/>
  <c r="AC59" i="2" l="1"/>
  <c r="AO22" i="2" l="1"/>
  <c r="AU59" i="2" l="1"/>
  <c r="AR59" i="2"/>
  <c r="AL59" i="2"/>
  <c r="AN59" i="2" s="1"/>
  <c r="AI59" i="2"/>
  <c r="AF59" i="2"/>
  <c r="AH59" i="2" s="1"/>
  <c r="Y59" i="2"/>
  <c r="AA59" i="2" s="1"/>
  <c r="U59" i="2"/>
  <c r="R59" i="2"/>
  <c r="T59" i="2" s="1"/>
  <c r="O59" i="2"/>
  <c r="L59" i="2"/>
  <c r="F59" i="2"/>
  <c r="AW58" i="2"/>
  <c r="X58" i="2"/>
  <c r="I58" i="2"/>
  <c r="AW55" i="2"/>
  <c r="X55" i="2"/>
  <c r="I55" i="2"/>
  <c r="AW54" i="2"/>
  <c r="X54" i="2"/>
  <c r="I54" i="2"/>
  <c r="C59" i="2"/>
  <c r="E59" i="2" s="1"/>
  <c r="AW53" i="2"/>
  <c r="X53" i="2"/>
  <c r="I53" i="2"/>
  <c r="AW52" i="2"/>
  <c r="X52" i="2"/>
  <c r="I52" i="2"/>
  <c r="AW51" i="2"/>
  <c r="V51" i="2"/>
  <c r="I51" i="2"/>
  <c r="BJ48" i="2"/>
  <c r="AW43" i="2"/>
  <c r="V43" i="2"/>
  <c r="X43" i="2" s="1"/>
  <c r="AW40" i="2"/>
  <c r="AW29" i="2"/>
  <c r="V29" i="2"/>
  <c r="X29" i="2" s="1"/>
  <c r="I29" i="2"/>
  <c r="AW28" i="2"/>
  <c r="V28" i="2"/>
  <c r="X28" i="2" s="1"/>
  <c r="I28" i="2"/>
  <c r="AW27" i="2"/>
  <c r="V27" i="2"/>
  <c r="X27" i="2" s="1"/>
  <c r="I27" i="2"/>
  <c r="AW26" i="2"/>
  <c r="V26" i="2"/>
  <c r="X26" i="2" s="1"/>
  <c r="BO26" i="2" s="1"/>
  <c r="I26" i="2"/>
  <c r="AW25" i="2"/>
  <c r="V25" i="2"/>
  <c r="X25" i="2" s="1"/>
  <c r="BO25" i="2" s="1"/>
  <c r="I25" i="2"/>
  <c r="AW24" i="2"/>
  <c r="V24" i="2"/>
  <c r="X24" i="2" s="1"/>
  <c r="BO24" i="2" s="1"/>
  <c r="AW23" i="2"/>
  <c r="V23" i="2"/>
  <c r="X23" i="2" s="1"/>
  <c r="BO23" i="2" s="1"/>
  <c r="I23" i="2"/>
  <c r="AW22" i="2"/>
  <c r="V22" i="2"/>
  <c r="X22" i="2" s="1"/>
  <c r="BO22" i="2" s="1"/>
  <c r="I22" i="2"/>
  <c r="AW21" i="2"/>
  <c r="V21" i="2"/>
  <c r="X21" i="2" s="1"/>
  <c r="BO21" i="2" s="1"/>
  <c r="I21" i="2"/>
  <c r="AW20" i="2"/>
  <c r="V20" i="2"/>
  <c r="X20" i="2" s="1"/>
  <c r="BO20" i="2" s="1"/>
  <c r="I20" i="2"/>
  <c r="AW19" i="2"/>
  <c r="V19" i="2"/>
  <c r="X19" i="2" s="1"/>
  <c r="BO19" i="2" s="1"/>
  <c r="AW17" i="2"/>
  <c r="V17" i="2"/>
  <c r="X17" i="2" s="1"/>
  <c r="BO17" i="2" s="1"/>
  <c r="I17" i="2"/>
  <c r="V16" i="2"/>
  <c r="X16" i="2" s="1"/>
  <c r="BO16" i="2" s="1"/>
  <c r="AW15" i="2"/>
  <c r="V15" i="2"/>
  <c r="X15" i="2" s="1"/>
  <c r="BO15" i="2" s="1"/>
  <c r="I15" i="2"/>
  <c r="AW14" i="2"/>
  <c r="V14" i="2"/>
  <c r="X14" i="2" s="1"/>
  <c r="BO14" i="2" s="1"/>
  <c r="AW13" i="2"/>
  <c r="BG13" i="2" s="1"/>
  <c r="BO44" i="2" l="1"/>
  <c r="BO47" i="2" s="1"/>
  <c r="BM13" i="2"/>
  <c r="Q59" i="2"/>
  <c r="V59" i="2"/>
  <c r="W59" i="2" s="1"/>
  <c r="AX54" i="2"/>
  <c r="AX58" i="2"/>
  <c r="W51" i="2"/>
  <c r="X51" i="2" s="1"/>
  <c r="AX55" i="2"/>
  <c r="AX52" i="2"/>
  <c r="AX51" i="2"/>
  <c r="BG17" i="2"/>
  <c r="BG14" i="2"/>
  <c r="BG15" i="2"/>
  <c r="AO16" i="2"/>
  <c r="AO19" i="2"/>
  <c r="BM48" i="2"/>
  <c r="I19" i="2"/>
  <c r="I59" i="2"/>
  <c r="K59" i="2" s="1"/>
  <c r="AW16" i="2"/>
  <c r="E91" i="2"/>
  <c r="AW59" i="2"/>
  <c r="BJ59" i="2"/>
  <c r="BL59" i="2" s="1"/>
  <c r="AO59" i="2"/>
  <c r="AX59" i="2" l="1"/>
  <c r="AY59" i="2" s="1"/>
  <c r="X59" i="2"/>
  <c r="AY55" i="2"/>
  <c r="AY53" i="2"/>
  <c r="AY54" i="2"/>
  <c r="AY58" i="2"/>
  <c r="AY51" i="2"/>
  <c r="AY52" i="2"/>
  <c r="BG16" i="2"/>
  <c r="BG59" i="2"/>
  <c r="BM15" i="2"/>
  <c r="BM14" i="2"/>
  <c r="BM26" i="2"/>
  <c r="BM23" i="2"/>
  <c r="BM24" i="2"/>
  <c r="BM17" i="2"/>
  <c r="C47" i="2"/>
  <c r="BM21" i="2"/>
  <c r="BM25" i="2"/>
  <c r="BM20" i="2"/>
  <c r="BM44" i="2" s="1"/>
  <c r="BM47" i="2" s="1"/>
  <c r="BM22" i="2"/>
  <c r="BH59" i="2" l="1"/>
  <c r="BK62" i="2"/>
  <c r="BM16" i="2"/>
  <c r="BM19" i="2"/>
  <c r="BN59" i="2" l="1"/>
  <c r="BI59" i="2"/>
  <c r="BO59" i="2" s="1"/>
  <c r="BN62" i="2"/>
  <c r="Y62" i="2"/>
  <c r="Y49" i="2" s="1"/>
  <c r="Y60" i="2" s="1"/>
  <c r="R62" i="2"/>
  <c r="R49" i="2" s="1"/>
  <c r="R60" i="2" s="1"/>
  <c r="AF62" i="2"/>
  <c r="AC62" i="2"/>
  <c r="O62" i="2"/>
  <c r="O49" i="2" s="1"/>
  <c r="O60" i="2" s="1"/>
  <c r="AR62" i="2"/>
  <c r="AR49" i="2" s="1"/>
  <c r="AR60" i="2" s="1"/>
  <c r="AI62" i="2"/>
  <c r="I62" i="2"/>
  <c r="F62" i="2"/>
  <c r="BK49" i="2"/>
  <c r="BK60" i="2" s="1"/>
  <c r="C62" i="2"/>
  <c r="C49" i="2" s="1"/>
  <c r="AW62" i="2"/>
  <c r="AW49" i="2" s="1"/>
  <c r="AW60" i="2" s="1"/>
  <c r="L62" i="2"/>
  <c r="V62" i="2"/>
  <c r="V49" i="2" s="1"/>
  <c r="V60" i="2" s="1"/>
  <c r="AO62" i="2"/>
  <c r="AO49" i="2" s="1"/>
  <c r="AO60" i="2" s="1"/>
  <c r="BG62" i="2"/>
  <c r="BG49" i="2" s="1"/>
  <c r="BG60" i="2" s="1"/>
  <c r="AB62" i="2"/>
  <c r="AB49" i="2" s="1"/>
  <c r="AB60" i="2" s="1"/>
  <c r="AZ62" i="2"/>
  <c r="AZ49" i="2" s="1"/>
  <c r="AZ60" i="2" s="1"/>
  <c r="AU62" i="2"/>
  <c r="AU49" i="2" s="1"/>
  <c r="AU60" i="2" s="1"/>
  <c r="BD62" i="2"/>
  <c r="AL62" i="2"/>
  <c r="AL49" i="2" s="1"/>
  <c r="AL60" i="2" s="1"/>
  <c r="U62" i="2"/>
  <c r="U49" i="2" s="1"/>
  <c r="U60" i="2" s="1"/>
  <c r="AV62" i="2"/>
  <c r="AV49" i="2" s="1"/>
  <c r="AV60" i="2" s="1"/>
  <c r="BJ62" i="2"/>
  <c r="BJ49" i="2" l="1"/>
  <c r="BJ60" i="2" s="1"/>
  <c r="BL62" i="2"/>
  <c r="BD49" i="2"/>
  <c r="BD60" i="2" s="1"/>
  <c r="L49" i="2"/>
  <c r="L60" i="2" s="1"/>
  <c r="AC49" i="2"/>
  <c r="AC60" i="2" s="1"/>
  <c r="AF49" i="2"/>
  <c r="AF60" i="2" s="1"/>
  <c r="AI49" i="2"/>
  <c r="AI60" i="2" s="1"/>
  <c r="I49" i="2"/>
  <c r="I60" i="2" s="1"/>
  <c r="BM59" i="2"/>
  <c r="BM62" i="2"/>
  <c r="BL49" i="2" l="1"/>
  <c r="BL60" i="2" s="1"/>
  <c r="C60" i="2"/>
  <c r="BM49" i="2" l="1"/>
  <c r="BM60" i="2" s="1"/>
  <c r="E34" i="2" l="1"/>
  <c r="H40" i="2" l="1"/>
  <c r="AM62" i="2" l="1"/>
  <c r="AJ62" i="2"/>
  <c r="AK62" i="2" s="1"/>
  <c r="AD62" i="2"/>
  <c r="AE62" i="2" s="1"/>
  <c r="AS62" i="2"/>
  <c r="AS49" i="2" s="1"/>
  <c r="AS60" i="2" s="1"/>
  <c r="S62" i="2"/>
  <c r="AP62" i="2"/>
  <c r="W62" i="2"/>
  <c r="W49" i="2" s="1"/>
  <c r="J62" i="2"/>
  <c r="K62" i="2" s="1"/>
  <c r="X49" i="2" l="1"/>
  <c r="X60" i="2" s="1"/>
  <c r="W60" i="2"/>
  <c r="X62" i="2"/>
  <c r="P62" i="2"/>
  <c r="AG62" i="2"/>
  <c r="AX62" i="2"/>
  <c r="Z62" i="2"/>
  <c r="BH62" i="2"/>
  <c r="BI62" i="2" s="1"/>
  <c r="M62" i="2"/>
  <c r="D62" i="2"/>
  <c r="D49" i="2" s="1"/>
  <c r="D60" i="2" s="1"/>
  <c r="BE62" i="2"/>
  <c r="G62" i="2"/>
  <c r="G49" i="2" s="1"/>
  <c r="G60" i="2" s="1"/>
  <c r="S49" i="2"/>
  <c r="S60" i="2" s="1"/>
  <c r="AD49" i="2" l="1"/>
  <c r="AD60" i="2" s="1"/>
  <c r="AG49" i="2"/>
  <c r="AH62" i="2"/>
  <c r="AJ49" i="2"/>
  <c r="T62" i="2"/>
  <c r="AT62" i="2"/>
  <c r="AN62" i="2"/>
  <c r="AM49" i="2"/>
  <c r="AM60" i="2" s="1"/>
  <c r="Z49" i="2"/>
  <c r="Z60" i="2" s="1"/>
  <c r="AA62" i="2"/>
  <c r="P49" i="2"/>
  <c r="P60" i="2" s="1"/>
  <c r="Q62" i="2"/>
  <c r="M49" i="2"/>
  <c r="M60" i="2" s="1"/>
  <c r="N62" i="2"/>
  <c r="J49" i="2"/>
  <c r="J60" i="2" s="1"/>
  <c r="H62" i="2"/>
  <c r="BE49" i="2"/>
  <c r="BE60" i="2" s="1"/>
  <c r="BF62" i="2"/>
  <c r="AQ62" i="2"/>
  <c r="AP49" i="2"/>
  <c r="AP60" i="2" s="1"/>
  <c r="E62" i="2"/>
  <c r="AX49" i="2"/>
  <c r="AX60" i="2" s="1"/>
  <c r="AY62" i="2"/>
  <c r="BO62" i="2"/>
  <c r="AK49" i="2" l="1"/>
  <c r="AK60" i="2" s="1"/>
  <c r="AJ60" i="2"/>
  <c r="AH49" i="2"/>
  <c r="AH60" i="2" s="1"/>
  <c r="AG60" i="2"/>
  <c r="BH49" i="2"/>
  <c r="BH60" i="2" s="1"/>
  <c r="BK68" i="2" s="1"/>
  <c r="BK70" i="2" s="1"/>
  <c r="BK71" i="2" s="1"/>
  <c r="BF49" i="2"/>
  <c r="BF60" i="2" s="1"/>
  <c r="AT49" i="2"/>
  <c r="AT60" i="2" s="1"/>
  <c r="AA49" i="2"/>
  <c r="AA60" i="2" s="1"/>
  <c r="Q49" i="2"/>
  <c r="Q60" i="2" s="1"/>
  <c r="E49" i="2"/>
  <c r="E60" i="2" s="1"/>
  <c r="T49" i="2"/>
  <c r="T60" i="2" s="1"/>
  <c r="H49" i="2"/>
  <c r="H60" i="2" s="1"/>
  <c r="AQ49" i="2"/>
  <c r="AQ60" i="2" s="1"/>
  <c r="AN49" i="2"/>
  <c r="AN60" i="2" s="1"/>
  <c r="N49" i="2"/>
  <c r="N60" i="2" s="1"/>
  <c r="AE49" i="2"/>
  <c r="AE60" i="2" s="1"/>
  <c r="AY49" i="2" l="1"/>
  <c r="AY60" i="2" s="1"/>
  <c r="K49" i="2"/>
  <c r="K60" i="2" s="1"/>
  <c r="BI49" i="2" l="1"/>
  <c r="BI60" i="2" s="1"/>
  <c r="BN49" i="2"/>
  <c r="BN60" i="2" s="1"/>
  <c r="BO49" i="2" l="1"/>
  <c r="BO60" i="2" s="1"/>
</calcChain>
</file>

<file path=xl/sharedStrings.xml><?xml version="1.0" encoding="utf-8"?>
<sst xmlns="http://schemas.openxmlformats.org/spreadsheetml/2006/main" count="218" uniqueCount="126">
  <si>
    <t>Irányítási költségek</t>
  </si>
  <si>
    <t>Kompenzáció ( kiadások összesen-saját és pályázati pénzeszközök)</t>
  </si>
  <si>
    <t xml:space="preserve">közszolgáltatási feladatok közvetlen kiadásai összesen: </t>
  </si>
  <si>
    <t>Értékcsökkenési leírás</t>
  </si>
  <si>
    <t>feladatellátáshoz felújítás</t>
  </si>
  <si>
    <t>feladatellátáshoz beruházás</t>
  </si>
  <si>
    <t>Adók (bármilyen jogcímen fizetett nem bérjáruléknak minősülő adó)</t>
  </si>
  <si>
    <t xml:space="preserve">   Karbantartási költségek</t>
  </si>
  <si>
    <t xml:space="preserve">   Reklám és propaganda kiadások</t>
  </si>
  <si>
    <t>kiküldetés</t>
  </si>
  <si>
    <t>programhoz kapcsolódó szolgáltatás</t>
  </si>
  <si>
    <t xml:space="preserve">   Egyéb szolgáltatás (takarítás, bankktg, könyvelési díj, könyvvizsgálat, postaktg, egyéb igénybevett szolgáltatás, bérleti díj, egyéb dologi kiadás,  stb.)</t>
  </si>
  <si>
    <t xml:space="preserve">   Anyagbeszerzés, készletbeszerzés</t>
  </si>
  <si>
    <t>Dologi kiadások</t>
  </si>
  <si>
    <t>Cafeteria</t>
  </si>
  <si>
    <t>Munkáltatót terhelő járulékok</t>
  </si>
  <si>
    <t xml:space="preserve">  Reprezentáció, költségtérítések</t>
  </si>
  <si>
    <t xml:space="preserve">  Külső személyi juttatások ( megbízási díjak)</t>
  </si>
  <si>
    <t xml:space="preserve">  Foglalkoztatottak személyi juttatásai</t>
  </si>
  <si>
    <t>Személyi juttatások</t>
  </si>
  <si>
    <t>Közvetlen költségek</t>
  </si>
  <si>
    <t>Kiadás</t>
  </si>
  <si>
    <t>Ebből: Önként vállalt feladat</t>
  </si>
  <si>
    <t>Ebből: Kötelező feladat</t>
  </si>
  <si>
    <t>Mindösszesen</t>
  </si>
  <si>
    <t>Összesen</t>
  </si>
  <si>
    <t>Újság</t>
  </si>
  <si>
    <t>Kiemelt állami és önkormányzati rendezvények</t>
  </si>
  <si>
    <t>Rendezvények (ünnepek, kitüntetés,egyéb lakossági   rendezvények)</t>
  </si>
  <si>
    <t>Szabadidő, kézségfejlesztési, közösségi programok Mátyástér 15.</t>
  </si>
  <si>
    <t>Adományok gyűjtése</t>
  </si>
  <si>
    <t>Káptalan</t>
  </si>
  <si>
    <t>Magyarkút</t>
  </si>
  <si>
    <t xml:space="preserve">Helyi vállalkozás fejlesztését segítő segítő feladatok </t>
  </si>
  <si>
    <t>Kulturális, közművelődési és turizmussal kapcsolatos feladatok ellátása</t>
  </si>
  <si>
    <t xml:space="preserve"> Szociális gondoskodás</t>
  </si>
  <si>
    <t xml:space="preserve">Józsefvárosi gyermekek részére  oktatás-nevelési intézmények nyári szünidei szabadidő foglalkozás, étkeztetéssel </t>
  </si>
  <si>
    <t>Gyermeküdültetés</t>
  </si>
  <si>
    <t>1 főre jutó  cafeteria összege</t>
  </si>
  <si>
    <t>irányítási ktg. felosztás %-a</t>
  </si>
  <si>
    <t>Bevételek mindösszesen</t>
  </si>
  <si>
    <t>Pályázati pénzeszközök</t>
  </si>
  <si>
    <t xml:space="preserve">  Szolgáltatási díjak (rendezvényszerv, székhelyszolg)</t>
  </si>
  <si>
    <t xml:space="preserve">  Térítési díjak(étkezés, szállás)</t>
  </si>
  <si>
    <t xml:space="preserve">  Hirdetési díj</t>
  </si>
  <si>
    <t xml:space="preserve">  Belépő díj</t>
  </si>
  <si>
    <t xml:space="preserve">  Bérletidíj</t>
  </si>
  <si>
    <t>Saját bevételek</t>
  </si>
  <si>
    <t xml:space="preserve">Irányítási költségek felosztása összesen </t>
  </si>
  <si>
    <t>Kiadások összesen</t>
  </si>
  <si>
    <t>össz.</t>
  </si>
  <si>
    <t>Egyéb szolgáltatás (takarítás, bankktg, könyvelési díj, könyvvizsgálat, postaktg, egyéb igénybevett szolgáltatás, bérleti díj, egyéb dologi kiadás,  stb.)</t>
  </si>
  <si>
    <t xml:space="preserve">   Közüzemi díjak</t>
  </si>
  <si>
    <t xml:space="preserve">1. </t>
  </si>
  <si>
    <t>önként vállalt fea.</t>
  </si>
  <si>
    <t>kötelező fea.</t>
  </si>
  <si>
    <t>feladat besorolása</t>
  </si>
  <si>
    <t>Megnevezés</t>
  </si>
  <si>
    <t>Tanoda</t>
  </si>
  <si>
    <t>083030</t>
  </si>
  <si>
    <t>016080</t>
  </si>
  <si>
    <t>086090, 081071,104037</t>
  </si>
  <si>
    <t>Új szerkesztőség kialakítása - működés</t>
  </si>
  <si>
    <t>Múzeum</t>
  </si>
  <si>
    <t>Online</t>
  </si>
  <si>
    <t>PR tevékenység</t>
  </si>
  <si>
    <t>Kerületi közéletű újság működtetése</t>
  </si>
  <si>
    <t>Elmenő vezetők</t>
  </si>
  <si>
    <t>081071, (ill.107070 a menekültekhez kapcsolódóan)</t>
  </si>
  <si>
    <t>foglalkoztatási programok</t>
  </si>
  <si>
    <t>Kiállítások, lakossági közművelődési feladatok H13</t>
  </si>
  <si>
    <t xml:space="preserve">  </t>
  </si>
  <si>
    <t xml:space="preserve">   Reklám, propaganda kiadások</t>
  </si>
  <si>
    <t>Központi irányítás</t>
  </si>
  <si>
    <t>086090</t>
  </si>
  <si>
    <t>082091</t>
  </si>
  <si>
    <t>086020</t>
  </si>
  <si>
    <t>047320</t>
  </si>
  <si>
    <t xml:space="preserve">betöltött létszám irányítás </t>
  </si>
  <si>
    <t>1 főre jutó cafeteria</t>
  </si>
  <si>
    <r>
      <rPr>
        <b/>
        <sz val="12"/>
        <rFont val="Calibri"/>
        <family val="2"/>
        <charset val="238"/>
        <scheme val="minor"/>
      </rPr>
      <t>Mátyás tér</t>
    </r>
    <r>
      <rPr>
        <sz val="12"/>
        <rFont val="Calibri"/>
        <family val="2"/>
        <charset val="238"/>
        <scheme val="minor"/>
      </rPr>
      <t xml:space="preserve"> szenior tanfolyam eszköz</t>
    </r>
  </si>
  <si>
    <r>
      <rPr>
        <b/>
        <sz val="12"/>
        <rFont val="Calibri"/>
        <family val="2"/>
        <charset val="238"/>
        <scheme val="minor"/>
      </rPr>
      <t xml:space="preserve">Központi Irányítás </t>
    </r>
    <r>
      <rPr>
        <sz val="12"/>
        <rFont val="Calibri"/>
        <family val="2"/>
        <charset val="238"/>
        <scheme val="minor"/>
      </rPr>
      <t xml:space="preserve"> informatikai eszközök</t>
    </r>
  </si>
  <si>
    <r>
      <rPr>
        <b/>
        <sz val="12"/>
        <rFont val="Calibri"/>
        <family val="2"/>
        <charset val="238"/>
        <scheme val="minor"/>
      </rPr>
      <t>Kiállítások, lakossági közművelődési feladatok H13</t>
    </r>
    <r>
      <rPr>
        <sz val="12"/>
        <rFont val="Calibri"/>
        <family val="2"/>
        <charset val="238"/>
        <scheme val="minor"/>
      </rPr>
      <t xml:space="preserve"> székek, asztalok, informatikai eszközök</t>
    </r>
  </si>
  <si>
    <r>
      <rPr>
        <b/>
        <sz val="12"/>
        <rFont val="Calibri"/>
        <family val="2"/>
        <charset val="238"/>
        <scheme val="minor"/>
      </rPr>
      <t>Káptalanfüred</t>
    </r>
    <r>
      <rPr>
        <sz val="12"/>
        <rFont val="Calibri"/>
        <family val="2"/>
        <charset val="238"/>
        <scheme val="minor"/>
      </rPr>
      <t xml:space="preserve"> fa kerti bútorok </t>
    </r>
  </si>
  <si>
    <r>
      <rPr>
        <b/>
        <sz val="12"/>
        <rFont val="Calibri"/>
        <family val="2"/>
        <charset val="238"/>
        <scheme val="minor"/>
      </rPr>
      <t>Rendezvény</t>
    </r>
    <r>
      <rPr>
        <sz val="12"/>
        <rFont val="Calibri"/>
        <family val="2"/>
        <charset val="238"/>
        <scheme val="minor"/>
      </rPr>
      <t xml:space="preserve"> informatikai eszközök</t>
    </r>
  </si>
  <si>
    <r>
      <rPr>
        <b/>
        <sz val="12"/>
        <rFont val="Calibri"/>
        <family val="2"/>
        <charset val="238"/>
        <scheme val="minor"/>
      </rPr>
      <t xml:space="preserve">Múzeum </t>
    </r>
    <r>
      <rPr>
        <sz val="12"/>
        <rFont val="Calibri"/>
        <family val="2"/>
        <charset val="238"/>
        <scheme val="minor"/>
      </rPr>
      <t>informatikai eszközök</t>
    </r>
  </si>
  <si>
    <r>
      <rPr>
        <b/>
        <sz val="12"/>
        <rFont val="Calibri"/>
        <family val="2"/>
        <charset val="238"/>
        <scheme val="minor"/>
      </rPr>
      <t>Mátyás tér Kesztyűgyár</t>
    </r>
    <r>
      <rPr>
        <sz val="12"/>
        <rFont val="Calibri"/>
        <family val="2"/>
        <charset val="238"/>
        <scheme val="minor"/>
      </rPr>
      <t xml:space="preserve">  informatikai eszközök </t>
    </r>
  </si>
  <si>
    <t>JKN 2024. évi kompenzáció</t>
  </si>
  <si>
    <r>
      <rPr>
        <b/>
        <sz val="12"/>
        <rFont val="Calibri"/>
        <family val="2"/>
        <charset val="238"/>
        <scheme val="minor"/>
      </rPr>
      <t>Magyarkút</t>
    </r>
    <r>
      <rPr>
        <sz val="12"/>
        <rFont val="Calibri"/>
        <family val="2"/>
        <charset val="238"/>
        <scheme val="minor"/>
      </rPr>
      <t xml:space="preserve"> informatikai eszközök</t>
    </r>
  </si>
  <si>
    <r>
      <rPr>
        <b/>
        <sz val="12"/>
        <rFont val="Calibri"/>
        <family val="2"/>
        <charset val="238"/>
        <scheme val="minor"/>
      </rPr>
      <t>Mátyás tér Kesztyűgyár</t>
    </r>
    <r>
      <rPr>
        <sz val="12"/>
        <rFont val="Calibri"/>
        <family val="2"/>
        <scheme val="minor"/>
      </rPr>
      <t xml:space="preserve"> próbaterem technika, stúdió berendezési eszk.</t>
    </r>
  </si>
  <si>
    <r>
      <rPr>
        <b/>
        <sz val="12"/>
        <rFont val="Calibri"/>
        <family val="2"/>
        <charset val="238"/>
        <scheme val="minor"/>
      </rPr>
      <t>Múzeum</t>
    </r>
    <r>
      <rPr>
        <sz val="12"/>
        <rFont val="Calibri"/>
        <family val="2"/>
        <charset val="238"/>
        <scheme val="minor"/>
      </rPr>
      <t xml:space="preserve"> eszközbeszerzés</t>
    </r>
  </si>
  <si>
    <r>
      <rPr>
        <b/>
        <sz val="12"/>
        <rFont val="Calibri"/>
        <family val="2"/>
        <charset val="238"/>
        <scheme val="minor"/>
      </rPr>
      <t>Múzeum</t>
    </r>
    <r>
      <rPr>
        <sz val="12"/>
        <rFont val="Calibri"/>
        <family val="2"/>
        <charset val="238"/>
        <scheme val="minor"/>
      </rPr>
      <t xml:space="preserve"> kiállítás építés, installáció, vitrinek, interaktív elemek </t>
    </r>
  </si>
  <si>
    <t>2024 Feladatellátási szerződés keretében ellátott feladatok mindösszesen</t>
  </si>
  <si>
    <t>TERV</t>
  </si>
  <si>
    <t>TÉNY</t>
  </si>
  <si>
    <t>MARADVÁNY</t>
  </si>
  <si>
    <t>önként vállalt feladat</t>
  </si>
  <si>
    <t xml:space="preserve">MARADVÁNY </t>
  </si>
  <si>
    <t xml:space="preserve">TÉNY </t>
  </si>
  <si>
    <t>Újság Összesen</t>
  </si>
  <si>
    <t xml:space="preserve">Önkormányzati támogatás (működési) </t>
  </si>
  <si>
    <t xml:space="preserve">egyéb bevétel </t>
  </si>
  <si>
    <t xml:space="preserve">Fókusz klíma berendezés </t>
  </si>
  <si>
    <t>kötelező  feladat</t>
  </si>
  <si>
    <t>Fókusz Központ Magdolna u.  47.</t>
  </si>
  <si>
    <t>082092</t>
  </si>
  <si>
    <t>önként vállat feladat</t>
  </si>
  <si>
    <t>kötelező feladat</t>
  </si>
  <si>
    <t xml:space="preserve">önként vállalt feladat </t>
  </si>
  <si>
    <t>Üdültetés  összesen</t>
  </si>
  <si>
    <t xml:space="preserve">2024 létszámadatok december 31. </t>
  </si>
  <si>
    <t>2024. december 31-én -én betöltött létszám</t>
  </si>
  <si>
    <t>Kompenzáció felhasználása összesen (kiadások összesen- saját és pályázati pénzeszközök)</t>
  </si>
  <si>
    <t>KORREKCIÓ: Felhalmozási kompenzáció elszámolás</t>
  </si>
  <si>
    <t>Felhasznált kompenzáció ÖSSZESEN:</t>
  </si>
  <si>
    <t xml:space="preserve">túlkompenzáció/visszafizetési kötelezettség </t>
  </si>
  <si>
    <t>2024. évi kompenzáció összege összesen:</t>
  </si>
  <si>
    <t>JKN összesen</t>
  </si>
  <si>
    <t>Józsefvárosi Múzeum működésének előkészítése (bérköltségek, szolgáltatási kiadások)</t>
  </si>
  <si>
    <r>
      <rPr>
        <b/>
        <sz val="12"/>
        <rFont val="Calibri"/>
        <family val="2"/>
        <charset val="238"/>
        <scheme val="minor"/>
      </rPr>
      <t xml:space="preserve">Újság </t>
    </r>
    <r>
      <rPr>
        <sz val="12"/>
        <rFont val="Calibri"/>
        <family val="2"/>
        <charset val="238"/>
        <scheme val="minor"/>
      </rPr>
      <t>székek, fényképező, adapter, objektív, keverő vágó szoftver, informatikai eszközök</t>
    </r>
  </si>
  <si>
    <t xml:space="preserve">engedélyezett létszám irányítás </t>
  </si>
  <si>
    <t xml:space="preserve">engedélyezett  létszám divíziók </t>
  </si>
  <si>
    <t xml:space="preserve">betöltött létszám divíziók </t>
  </si>
  <si>
    <t xml:space="preserve">JKN összesen </t>
  </si>
  <si>
    <t>Önkormányzat által leutalt kompenzáció</t>
  </si>
  <si>
    <t>JKN Zrt. 2024. évi közszolgálati táblázat elszámoló tábla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</si>
</sst>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_-;\-* #,##0.00_-;_-* &quot;-&quot;??_-;_-@_-"/>
    <numFmt numFmtId="164" formatCode="_-* #,##0.00\ _F_t_-;\-* #,##0.00\ _F_t_-;_-* &quot;-&quot;??\ _F_t_-;_-@_-"/>
    <numFmt numFmtId="165" formatCode="#,##0\ _F_t"/>
    <numFmt numFmtId="166" formatCode="#,##0_ ;[Red]\-#,##0\ "/>
    <numFmt numFmtId="167" formatCode="#,##0.00_ ;[Red]\-#,##0.00\ "/>
    <numFmt numFmtId="168" formatCode="###\ ###\ ###\ ##0"/>
    <numFmt numFmtId="169" formatCode="#,##0.0\ _F_t"/>
    <numFmt numFmtId="170" formatCode="#,##0.00\ _F_t"/>
    <numFmt numFmtId="171" formatCode="#,##0.000\ _F_t"/>
    <numFmt numFmtId="172" formatCode="#,##0_ ;\-#,##0\ "/>
  </numFmts>
  <fonts count="5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0"/>
      <name val="Calibri"/>
      <family val="2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6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charset val="238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u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color theme="1" tint="4.9989318521683403E-2"/>
      <name val="Calibri"/>
      <family val="2"/>
      <scheme val="minor"/>
    </font>
    <font>
      <b/>
      <sz val="12"/>
      <color theme="1" tint="4.9989318521683403E-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2"/>
      <color rgb="FFFFFF00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C000"/>
      <name val="Calibri"/>
      <family val="2"/>
      <charset val="238"/>
      <scheme val="minor"/>
    </font>
    <font>
      <b/>
      <sz val="14"/>
      <color rgb="FFFFC000"/>
      <name val="Calibri"/>
      <family val="2"/>
      <charset val="238"/>
      <scheme val="minor"/>
    </font>
    <font>
      <b/>
      <sz val="14"/>
      <color rgb="FFFFFF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6"/>
      <color theme="0"/>
      <name val="Calibri"/>
      <family val="2"/>
      <charset val="238"/>
      <scheme val="minor"/>
    </font>
    <font>
      <b/>
      <i/>
      <sz val="12"/>
      <color rgb="FF00B0F0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b/>
      <sz val="14"/>
      <color theme="1" tint="4.9989318521683403E-2"/>
      <name val="Calibri"/>
      <family val="2"/>
      <scheme val="minor"/>
    </font>
    <font>
      <sz val="12"/>
      <color rgb="FF00B0F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</patternFill>
    </fill>
  </fills>
  <borders count="72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9" fillId="0" borderId="0"/>
    <xf numFmtId="43" fontId="39" fillId="0" borderId="0" applyFont="0" applyFill="0" applyBorder="0" applyAlignment="0" applyProtection="0"/>
    <xf numFmtId="0" fontId="1" fillId="10" borderId="62" applyNumberFormat="0" applyFont="0" applyAlignment="0" applyProtection="0"/>
  </cellStyleXfs>
  <cellXfs count="544">
    <xf numFmtId="0" fontId="0" fillId="0" borderId="0" xfId="0"/>
    <xf numFmtId="165" fontId="2" fillId="0" borderId="0" xfId="0" applyNumberFormat="1" applyFont="1" applyAlignment="1">
      <alignment horizontal="center"/>
    </xf>
    <xf numFmtId="165" fontId="2" fillId="0" borderId="0" xfId="0" applyNumberFormat="1" applyFont="1"/>
    <xf numFmtId="165" fontId="3" fillId="0" borderId="0" xfId="0" applyNumberFormat="1" applyFont="1" applyAlignment="1">
      <alignment horizontal="center"/>
    </xf>
    <xf numFmtId="165" fontId="3" fillId="0" borderId="0" xfId="0" applyNumberFormat="1" applyFont="1"/>
    <xf numFmtId="165" fontId="7" fillId="0" borderId="12" xfId="0" applyNumberFormat="1" applyFont="1" applyBorder="1" applyAlignment="1">
      <alignment horizontal="right"/>
    </xf>
    <xf numFmtId="9" fontId="3" fillId="0" borderId="0" xfId="1" applyFont="1" applyAlignment="1">
      <alignment horizontal="center"/>
    </xf>
    <xf numFmtId="165" fontId="3" fillId="0" borderId="13" xfId="0" applyNumberFormat="1" applyFont="1" applyBorder="1" applyAlignment="1">
      <alignment horizontal="right"/>
    </xf>
    <xf numFmtId="165" fontId="3" fillId="3" borderId="14" xfId="0" applyNumberFormat="1" applyFont="1" applyFill="1" applyBorder="1" applyAlignment="1">
      <alignment horizontal="right"/>
    </xf>
    <xf numFmtId="165" fontId="3" fillId="0" borderId="14" xfId="0" applyNumberFormat="1" applyFont="1" applyBorder="1" applyAlignment="1">
      <alignment horizontal="right"/>
    </xf>
    <xf numFmtId="165" fontId="3" fillId="0" borderId="14" xfId="0" applyNumberFormat="1" applyFont="1" applyBorder="1" applyAlignment="1">
      <alignment horizontal="right" wrapText="1"/>
    </xf>
    <xf numFmtId="165" fontId="3" fillId="3" borderId="15" xfId="0" applyNumberFormat="1" applyFont="1" applyFill="1" applyBorder="1" applyAlignment="1">
      <alignment horizontal="right"/>
    </xf>
    <xf numFmtId="10" fontId="11" fillId="0" borderId="0" xfId="1" applyNumberFormat="1" applyFont="1" applyAlignment="1">
      <alignment horizontal="center"/>
    </xf>
    <xf numFmtId="10" fontId="10" fillId="3" borderId="9" xfId="1" applyNumberFormat="1" applyFont="1" applyFill="1" applyBorder="1" applyAlignment="1">
      <alignment horizontal="center" vertical="center"/>
    </xf>
    <xf numFmtId="10" fontId="12" fillId="0" borderId="5" xfId="1" applyNumberFormat="1" applyFont="1" applyBorder="1" applyAlignment="1">
      <alignment horizontal="center"/>
    </xf>
    <xf numFmtId="165" fontId="13" fillId="6" borderId="0" xfId="0" applyNumberFormat="1" applyFont="1" applyFill="1" applyAlignment="1">
      <alignment horizontal="center"/>
    </xf>
    <xf numFmtId="165" fontId="3" fillId="6" borderId="5" xfId="0" applyNumberFormat="1" applyFont="1" applyFill="1" applyBorder="1" applyAlignment="1">
      <alignment horizontal="center"/>
    </xf>
    <xf numFmtId="165" fontId="3" fillId="7" borderId="3" xfId="0" applyNumberFormat="1" applyFont="1" applyFill="1" applyBorder="1" applyAlignment="1">
      <alignment horizontal="right" vertical="center"/>
    </xf>
    <xf numFmtId="165" fontId="3" fillId="0" borderId="5" xfId="0" applyNumberFormat="1" applyFont="1" applyBorder="1" applyAlignment="1">
      <alignment horizontal="center"/>
    </xf>
    <xf numFmtId="165" fontId="3" fillId="0" borderId="32" xfId="0" applyNumberFormat="1" applyFont="1" applyBorder="1" applyAlignment="1">
      <alignment horizontal="right" vertical="center"/>
    </xf>
    <xf numFmtId="165" fontId="11" fillId="0" borderId="0" xfId="0" applyNumberFormat="1" applyFont="1" applyAlignment="1">
      <alignment horizontal="center"/>
    </xf>
    <xf numFmtId="165" fontId="10" fillId="3" borderId="24" xfId="0" applyNumberFormat="1" applyFont="1" applyFill="1" applyBorder="1" applyAlignment="1">
      <alignment horizontal="right" vertical="center"/>
    </xf>
    <xf numFmtId="165" fontId="12" fillId="0" borderId="5" xfId="0" applyNumberFormat="1" applyFont="1" applyBorder="1" applyAlignment="1">
      <alignment horizontal="center"/>
    </xf>
    <xf numFmtId="165" fontId="3" fillId="0" borderId="24" xfId="0" applyNumberFormat="1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center"/>
    </xf>
    <xf numFmtId="165" fontId="7" fillId="8" borderId="8" xfId="0" applyNumberFormat="1" applyFont="1" applyFill="1" applyBorder="1" applyAlignment="1">
      <alignment horizontal="right" vertical="center"/>
    </xf>
    <xf numFmtId="165" fontId="7" fillId="8" borderId="11" xfId="0" applyNumberFormat="1" applyFont="1" applyFill="1" applyBorder="1" applyAlignment="1">
      <alignment horizontal="right" vertical="center"/>
    </xf>
    <xf numFmtId="165" fontId="7" fillId="8" borderId="7" xfId="0" applyNumberFormat="1" applyFont="1" applyFill="1" applyBorder="1" applyAlignment="1">
      <alignment horizontal="right" vertical="center"/>
    </xf>
    <xf numFmtId="165" fontId="3" fillId="5" borderId="7" xfId="0" applyNumberFormat="1" applyFont="1" applyFill="1" applyBorder="1" applyAlignment="1">
      <alignment horizontal="right" vertical="center"/>
    </xf>
    <xf numFmtId="165" fontId="7" fillId="3" borderId="7" xfId="0" applyNumberFormat="1" applyFont="1" applyFill="1" applyBorder="1" applyAlignment="1">
      <alignment vertical="center"/>
    </xf>
    <xf numFmtId="165" fontId="7" fillId="3" borderId="8" xfId="0" applyNumberFormat="1" applyFont="1" applyFill="1" applyBorder="1" applyAlignment="1">
      <alignment vertical="center"/>
    </xf>
    <xf numFmtId="165" fontId="7" fillId="3" borderId="9" xfId="0" applyNumberFormat="1" applyFont="1" applyFill="1" applyBorder="1" applyAlignment="1">
      <alignment vertical="center"/>
    </xf>
    <xf numFmtId="165" fontId="7" fillId="3" borderId="11" xfId="0" applyNumberFormat="1" applyFont="1" applyFill="1" applyBorder="1" applyAlignment="1">
      <alignment vertical="center"/>
    </xf>
    <xf numFmtId="165" fontId="3" fillId="7" borderId="8" xfId="0" applyNumberFormat="1" applyFont="1" applyFill="1" applyBorder="1" applyAlignment="1">
      <alignment horizontal="right" vertical="center"/>
    </xf>
    <xf numFmtId="165" fontId="3" fillId="7" borderId="11" xfId="0" applyNumberFormat="1" applyFont="1" applyFill="1" applyBorder="1" applyAlignment="1">
      <alignment horizontal="right" vertical="center"/>
    </xf>
    <xf numFmtId="165" fontId="7" fillId="0" borderId="0" xfId="0" applyNumberFormat="1" applyFont="1" applyAlignment="1">
      <alignment horizontal="center"/>
    </xf>
    <xf numFmtId="165" fontId="7" fillId="0" borderId="5" xfId="0" applyNumberFormat="1" applyFont="1" applyBorder="1" applyAlignment="1">
      <alignment horizontal="center"/>
    </xf>
    <xf numFmtId="165" fontId="2" fillId="0" borderId="0" xfId="0" applyNumberFormat="1" applyFont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165" fontId="2" fillId="0" borderId="20" xfId="0" applyNumberFormat="1" applyFont="1" applyBorder="1" applyAlignment="1">
      <alignment horizontal="center"/>
    </xf>
    <xf numFmtId="165" fontId="3" fillId="0" borderId="25" xfId="0" applyNumberFormat="1" applyFont="1" applyBorder="1" applyAlignment="1">
      <alignment horizontal="center"/>
    </xf>
    <xf numFmtId="165" fontId="4" fillId="0" borderId="0" xfId="0" applyNumberFormat="1" applyFont="1" applyAlignment="1">
      <alignment horizontal="left" vertical="center"/>
    </xf>
    <xf numFmtId="1" fontId="4" fillId="0" borderId="0" xfId="0" applyNumberFormat="1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left" vertical="center"/>
    </xf>
    <xf numFmtId="1" fontId="7" fillId="0" borderId="5" xfId="0" applyNumberFormat="1" applyFont="1" applyBorder="1" applyAlignment="1">
      <alignment horizontal="center" vertical="center"/>
    </xf>
    <xf numFmtId="1" fontId="7" fillId="0" borderId="19" xfId="0" applyNumberFormat="1" applyFont="1" applyBorder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65" fontId="10" fillId="3" borderId="12" xfId="0" applyNumberFormat="1" applyFont="1" applyFill="1" applyBorder="1" applyAlignment="1">
      <alignment horizontal="right" vertical="center"/>
    </xf>
    <xf numFmtId="165" fontId="3" fillId="5" borderId="37" xfId="0" applyNumberFormat="1" applyFont="1" applyFill="1" applyBorder="1" applyAlignment="1">
      <alignment horizontal="right" vertical="center"/>
    </xf>
    <xf numFmtId="165" fontId="3" fillId="7" borderId="41" xfId="0" applyNumberFormat="1" applyFont="1" applyFill="1" applyBorder="1" applyAlignment="1">
      <alignment horizontal="right" vertical="center"/>
    </xf>
    <xf numFmtId="165" fontId="19" fillId="0" borderId="0" xfId="0" applyNumberFormat="1" applyFont="1" applyAlignment="1">
      <alignment horizontal="center"/>
    </xf>
    <xf numFmtId="3" fontId="3" fillId="0" borderId="5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right" vertical="center"/>
    </xf>
    <xf numFmtId="165" fontId="3" fillId="7" borderId="6" xfId="0" applyNumberFormat="1" applyFont="1" applyFill="1" applyBorder="1" applyAlignment="1">
      <alignment horizontal="right" vertical="center"/>
    </xf>
    <xf numFmtId="165" fontId="3" fillId="0" borderId="11" xfId="0" applyNumberFormat="1" applyFont="1" applyBorder="1" applyAlignment="1">
      <alignment horizontal="right" vertical="center"/>
    </xf>
    <xf numFmtId="165" fontId="3" fillId="0" borderId="9" xfId="0" applyNumberFormat="1" applyFont="1" applyBorder="1" applyAlignment="1">
      <alignment horizontal="right" vertical="center"/>
    </xf>
    <xf numFmtId="165" fontId="3" fillId="0" borderId="10" xfId="0" applyNumberFormat="1" applyFont="1" applyBorder="1" applyAlignment="1">
      <alignment horizontal="right" vertical="center"/>
    </xf>
    <xf numFmtId="165" fontId="3" fillId="0" borderId="31" xfId="0" applyNumberFormat="1" applyFont="1" applyBorder="1" applyAlignment="1">
      <alignment horizontal="right" vertical="center"/>
    </xf>
    <xf numFmtId="165" fontId="10" fillId="3" borderId="4" xfId="0" applyNumberFormat="1" applyFont="1" applyFill="1" applyBorder="1" applyAlignment="1">
      <alignment horizontal="right" vertical="center"/>
    </xf>
    <xf numFmtId="165" fontId="3" fillId="0" borderId="3" xfId="0" applyNumberFormat="1" applyFont="1" applyBorder="1" applyAlignment="1">
      <alignment horizontal="right" vertical="center" wrapText="1"/>
    </xf>
    <xf numFmtId="165" fontId="7" fillId="8" borderId="9" xfId="0" applyNumberFormat="1" applyFont="1" applyFill="1" applyBorder="1" applyAlignment="1">
      <alignment horizontal="right" vertical="center"/>
    </xf>
    <xf numFmtId="165" fontId="3" fillId="7" borderId="9" xfId="0" applyNumberFormat="1" applyFont="1" applyFill="1" applyBorder="1" applyAlignment="1">
      <alignment horizontal="right" vertical="center"/>
    </xf>
    <xf numFmtId="165" fontId="3" fillId="0" borderId="27" xfId="0" applyNumberFormat="1" applyFont="1" applyBorder="1" applyAlignment="1">
      <alignment horizontal="right" vertical="center"/>
    </xf>
    <xf numFmtId="165" fontId="3" fillId="0" borderId="36" xfId="0" applyNumberFormat="1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center"/>
    </xf>
    <xf numFmtId="165" fontId="3" fillId="5" borderId="9" xfId="0" applyNumberFormat="1" applyFont="1" applyFill="1" applyBorder="1" applyAlignment="1">
      <alignment horizontal="right" vertical="center"/>
    </xf>
    <xf numFmtId="165" fontId="20" fillId="0" borderId="0" xfId="0" applyNumberFormat="1" applyFont="1" applyAlignment="1">
      <alignment horizontal="center"/>
    </xf>
    <xf numFmtId="165" fontId="7" fillId="3" borderId="10" xfId="0" applyNumberFormat="1" applyFont="1" applyFill="1" applyBorder="1" applyAlignment="1">
      <alignment vertical="center"/>
    </xf>
    <xf numFmtId="165" fontId="7" fillId="8" borderId="10" xfId="0" applyNumberFormat="1" applyFont="1" applyFill="1" applyBorder="1" applyAlignment="1">
      <alignment horizontal="right" vertical="center"/>
    </xf>
    <xf numFmtId="165" fontId="3" fillId="0" borderId="34" xfId="0" applyNumberFormat="1" applyFont="1" applyBorder="1" applyAlignment="1">
      <alignment horizontal="right" vertical="center" wrapText="1"/>
    </xf>
    <xf numFmtId="165" fontId="10" fillId="3" borderId="34" xfId="0" applyNumberFormat="1" applyFont="1" applyFill="1" applyBorder="1" applyAlignment="1">
      <alignment horizontal="right" vertical="center"/>
    </xf>
    <xf numFmtId="165" fontId="3" fillId="0" borderId="46" xfId="0" applyNumberFormat="1" applyFont="1" applyBorder="1" applyAlignment="1">
      <alignment horizontal="right" vertical="center"/>
    </xf>
    <xf numFmtId="165" fontId="3" fillId="7" borderId="16" xfId="0" applyNumberFormat="1" applyFont="1" applyFill="1" applyBorder="1" applyAlignment="1">
      <alignment horizontal="right" vertical="center"/>
    </xf>
    <xf numFmtId="10" fontId="10" fillId="3" borderId="10" xfId="1" applyNumberFormat="1" applyFont="1" applyFill="1" applyBorder="1" applyAlignment="1">
      <alignment horizontal="center" vertical="center"/>
    </xf>
    <xf numFmtId="167" fontId="22" fillId="0" borderId="0" xfId="2" applyNumberFormat="1" applyFont="1" applyBorder="1" applyAlignment="1">
      <alignment horizontal="center" vertical="center"/>
    </xf>
    <xf numFmtId="167" fontId="22" fillId="0" borderId="0" xfId="1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right" vertical="center"/>
    </xf>
    <xf numFmtId="165" fontId="3" fillId="5" borderId="10" xfId="0" applyNumberFormat="1" applyFont="1" applyFill="1" applyBorder="1" applyAlignment="1">
      <alignment horizontal="right" vertical="center"/>
    </xf>
    <xf numFmtId="165" fontId="3" fillId="7" borderId="12" xfId="0" applyNumberFormat="1" applyFont="1" applyFill="1" applyBorder="1" applyAlignment="1">
      <alignment horizontal="right" vertical="center"/>
    </xf>
    <xf numFmtId="165" fontId="3" fillId="7" borderId="7" xfId="0" applyNumberFormat="1" applyFont="1" applyFill="1" applyBorder="1" applyAlignment="1">
      <alignment horizontal="right" vertical="center"/>
    </xf>
    <xf numFmtId="10" fontId="10" fillId="3" borderId="7" xfId="1" applyNumberFormat="1" applyFont="1" applyFill="1" applyBorder="1" applyAlignment="1">
      <alignment horizontal="center" vertical="center"/>
    </xf>
    <xf numFmtId="165" fontId="3" fillId="0" borderId="48" xfId="0" applyNumberFormat="1" applyFont="1" applyBorder="1" applyAlignment="1">
      <alignment horizontal="right" vertical="center"/>
    </xf>
    <xf numFmtId="165" fontId="3" fillId="0" borderId="7" xfId="0" applyNumberFormat="1" applyFont="1" applyBorder="1" applyAlignment="1">
      <alignment horizontal="right" vertical="center"/>
    </xf>
    <xf numFmtId="165" fontId="3" fillId="0" borderId="43" xfId="0" applyNumberFormat="1" applyFont="1" applyBorder="1" applyAlignment="1">
      <alignment horizontal="right" vertical="center"/>
    </xf>
    <xf numFmtId="165" fontId="3" fillId="7" borderId="43" xfId="0" applyNumberFormat="1" applyFont="1" applyFill="1" applyBorder="1" applyAlignment="1">
      <alignment horizontal="right" vertical="center"/>
    </xf>
    <xf numFmtId="165" fontId="7" fillId="3" borderId="43" xfId="0" applyNumberFormat="1" applyFont="1" applyFill="1" applyBorder="1" applyAlignment="1">
      <alignment vertical="center"/>
    </xf>
    <xf numFmtId="165" fontId="7" fillId="8" borderId="43" xfId="0" applyNumberFormat="1" applyFont="1" applyFill="1" applyBorder="1" applyAlignment="1">
      <alignment horizontal="right" vertical="center"/>
    </xf>
    <xf numFmtId="165" fontId="3" fillId="0" borderId="41" xfId="0" applyNumberFormat="1" applyFont="1" applyBorder="1" applyAlignment="1">
      <alignment horizontal="right" vertical="center" wrapText="1"/>
    </xf>
    <xf numFmtId="165" fontId="3" fillId="5" borderId="43" xfId="0" applyNumberFormat="1" applyFont="1" applyFill="1" applyBorder="1" applyAlignment="1">
      <alignment horizontal="right" vertical="center"/>
    </xf>
    <xf numFmtId="165" fontId="10" fillId="3" borderId="3" xfId="0" applyNumberFormat="1" applyFont="1" applyFill="1" applyBorder="1" applyAlignment="1">
      <alignment horizontal="right" vertical="center"/>
    </xf>
    <xf numFmtId="49" fontId="7" fillId="0" borderId="18" xfId="0" quotePrefix="1" applyNumberFormat="1" applyFont="1" applyBorder="1" applyAlignment="1">
      <alignment horizontal="center" vertical="center"/>
    </xf>
    <xf numFmtId="49" fontId="7" fillId="0" borderId="20" xfId="0" applyNumberFormat="1" applyFont="1" applyBorder="1" applyAlignment="1">
      <alignment horizontal="center" vertical="center"/>
    </xf>
    <xf numFmtId="165" fontId="19" fillId="0" borderId="0" xfId="0" applyNumberFormat="1" applyFont="1"/>
    <xf numFmtId="165" fontId="26" fillId="0" borderId="5" xfId="0" applyNumberFormat="1" applyFont="1" applyBorder="1" applyAlignment="1">
      <alignment horizontal="center" vertical="center"/>
    </xf>
    <xf numFmtId="165" fontId="26" fillId="0" borderId="34" xfId="0" applyNumberFormat="1" applyFont="1" applyBorder="1" applyAlignment="1">
      <alignment horizontal="center" vertical="center" wrapText="1"/>
    </xf>
    <xf numFmtId="165" fontId="26" fillId="0" borderId="24" xfId="0" applyNumberFormat="1" applyFont="1" applyBorder="1" applyAlignment="1">
      <alignment horizontal="center" vertical="center" wrapText="1"/>
    </xf>
    <xf numFmtId="165" fontId="28" fillId="0" borderId="0" xfId="0" applyNumberFormat="1" applyFont="1" applyAlignment="1">
      <alignment horizontal="center" vertical="center"/>
    </xf>
    <xf numFmtId="165" fontId="3" fillId="0" borderId="22" xfId="0" applyNumberFormat="1" applyFont="1" applyBorder="1" applyAlignment="1">
      <alignment horizontal="center"/>
    </xf>
    <xf numFmtId="165" fontId="3" fillId="0" borderId="52" xfId="0" applyNumberFormat="1" applyFont="1" applyBorder="1" applyAlignment="1">
      <alignment horizontal="center"/>
    </xf>
    <xf numFmtId="165" fontId="3" fillId="0" borderId="53" xfId="0" applyNumberFormat="1" applyFont="1" applyBorder="1" applyAlignment="1">
      <alignment horizontal="center"/>
    </xf>
    <xf numFmtId="165" fontId="2" fillId="0" borderId="9" xfId="0" applyNumberFormat="1" applyFont="1" applyBorder="1" applyAlignment="1">
      <alignment horizontal="center"/>
    </xf>
    <xf numFmtId="168" fontId="13" fillId="0" borderId="0" xfId="0" applyNumberFormat="1" applyFont="1"/>
    <xf numFmtId="0" fontId="13" fillId="0" borderId="0" xfId="0" applyFont="1"/>
    <xf numFmtId="0" fontId="2" fillId="0" borderId="0" xfId="0" applyFont="1"/>
    <xf numFmtId="9" fontId="2" fillId="0" borderId="0" xfId="0" applyNumberFormat="1" applyFont="1"/>
    <xf numFmtId="166" fontId="22" fillId="0" borderId="0" xfId="2" applyNumberFormat="1" applyFont="1" applyBorder="1" applyAlignment="1">
      <alignment horizontal="center" vertical="center"/>
    </xf>
    <xf numFmtId="169" fontId="2" fillId="0" borderId="0" xfId="0" applyNumberFormat="1" applyFont="1" applyAlignment="1">
      <alignment horizontal="center"/>
    </xf>
    <xf numFmtId="171" fontId="3" fillId="0" borderId="0" xfId="0" applyNumberFormat="1" applyFont="1" applyAlignment="1">
      <alignment horizontal="center"/>
    </xf>
    <xf numFmtId="170" fontId="3" fillId="0" borderId="0" xfId="0" applyNumberFormat="1" applyFont="1" applyAlignment="1">
      <alignment horizontal="center"/>
    </xf>
    <xf numFmtId="165" fontId="29" fillId="0" borderId="0" xfId="0" applyNumberFormat="1" applyFont="1"/>
    <xf numFmtId="165" fontId="2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/>
    </xf>
    <xf numFmtId="9" fontId="3" fillId="0" borderId="0" xfId="1" applyFont="1" applyBorder="1" applyAlignment="1">
      <alignment horizontal="center"/>
    </xf>
    <xf numFmtId="165" fontId="3" fillId="0" borderId="21" xfId="0" applyNumberFormat="1" applyFont="1" applyBorder="1" applyAlignment="1">
      <alignment horizontal="center"/>
    </xf>
    <xf numFmtId="3" fontId="3" fillId="6" borderId="10" xfId="0" applyNumberFormat="1" applyFont="1" applyFill="1" applyBorder="1" applyAlignment="1">
      <alignment horizontal="right" vertical="center"/>
    </xf>
    <xf numFmtId="165" fontId="2" fillId="0" borderId="40" xfId="0" applyNumberFormat="1" applyFont="1" applyBorder="1" applyAlignment="1">
      <alignment horizontal="center"/>
    </xf>
    <xf numFmtId="165" fontId="7" fillId="8" borderId="35" xfId="0" applyNumberFormat="1" applyFont="1" applyFill="1" applyBorder="1" applyAlignment="1">
      <alignment horizontal="right" vertical="center"/>
    </xf>
    <xf numFmtId="165" fontId="3" fillId="0" borderId="35" xfId="0" applyNumberFormat="1" applyFont="1" applyBorder="1" applyAlignment="1">
      <alignment horizontal="right" vertical="center"/>
    </xf>
    <xf numFmtId="165" fontId="3" fillId="7" borderId="24" xfId="0" applyNumberFormat="1" applyFont="1" applyFill="1" applyBorder="1" applyAlignment="1">
      <alignment horizontal="right" vertical="center"/>
    </xf>
    <xf numFmtId="165" fontId="38" fillId="0" borderId="0" xfId="0" applyNumberFormat="1" applyFont="1" applyAlignment="1">
      <alignment horizontal="right"/>
    </xf>
    <xf numFmtId="165" fontId="3" fillId="0" borderId="40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3" fillId="0" borderId="29" xfId="0" applyNumberFormat="1" applyFont="1" applyBorder="1" applyAlignment="1">
      <alignment horizontal="center"/>
    </xf>
    <xf numFmtId="165" fontId="25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center"/>
    </xf>
    <xf numFmtId="165" fontId="44" fillId="0" borderId="0" xfId="0" applyNumberFormat="1" applyFont="1" applyAlignment="1">
      <alignment horizontal="center"/>
    </xf>
    <xf numFmtId="165" fontId="43" fillId="0" borderId="0" xfId="0" applyNumberFormat="1" applyFont="1" applyAlignment="1">
      <alignment horizontal="center"/>
    </xf>
    <xf numFmtId="165" fontId="34" fillId="0" borderId="0" xfId="0" applyNumberFormat="1" applyFont="1" applyAlignment="1">
      <alignment horizontal="center"/>
    </xf>
    <xf numFmtId="165" fontId="26" fillId="0" borderId="47" xfId="0" applyNumberFormat="1" applyFont="1" applyBorder="1" applyAlignment="1">
      <alignment horizontal="center" vertical="center" wrapText="1"/>
    </xf>
    <xf numFmtId="165" fontId="26" fillId="0" borderId="18" xfId="0" applyNumberFormat="1" applyFont="1" applyBorder="1" applyAlignment="1">
      <alignment horizontal="center" vertical="center" wrapText="1"/>
    </xf>
    <xf numFmtId="165" fontId="26" fillId="0" borderId="12" xfId="0" applyNumberFormat="1" applyFont="1" applyBorder="1" applyAlignment="1">
      <alignment horizontal="center" vertical="center"/>
    </xf>
    <xf numFmtId="165" fontId="7" fillId="0" borderId="15" xfId="0" applyNumberFormat="1" applyFont="1" applyBorder="1" applyAlignment="1">
      <alignment horizontal="center"/>
    </xf>
    <xf numFmtId="165" fontId="7" fillId="0" borderId="14" xfId="0" applyNumberFormat="1" applyFont="1" applyBorder="1" applyAlignment="1">
      <alignment horizontal="right"/>
    </xf>
    <xf numFmtId="165" fontId="9" fillId="0" borderId="14" xfId="0" applyNumberFormat="1" applyFont="1" applyBorder="1" applyAlignment="1">
      <alignment horizontal="right"/>
    </xf>
    <xf numFmtId="165" fontId="16" fillId="7" borderId="14" xfId="0" applyNumberFormat="1" applyFont="1" applyFill="1" applyBorder="1" applyAlignment="1">
      <alignment horizontal="right"/>
    </xf>
    <xf numFmtId="165" fontId="9" fillId="0" borderId="14" xfId="0" applyNumberFormat="1" applyFont="1" applyBorder="1" applyAlignment="1">
      <alignment horizontal="right" wrapText="1"/>
    </xf>
    <xf numFmtId="165" fontId="8" fillId="3" borderId="42" xfId="0" applyNumberFormat="1" applyFont="1" applyFill="1" applyBorder="1" applyAlignment="1">
      <alignment horizontal="right" wrapText="1"/>
    </xf>
    <xf numFmtId="165" fontId="3" fillId="0" borderId="20" xfId="0" applyNumberFormat="1" applyFont="1" applyBorder="1" applyAlignment="1">
      <alignment horizontal="right"/>
    </xf>
    <xf numFmtId="165" fontId="8" fillId="8" borderId="12" xfId="0" applyNumberFormat="1" applyFont="1" applyFill="1" applyBorder="1" applyAlignment="1">
      <alignment horizontal="right"/>
    </xf>
    <xf numFmtId="165" fontId="8" fillId="3" borderId="12" xfId="0" applyNumberFormat="1" applyFont="1" applyFill="1" applyBorder="1" applyAlignment="1">
      <alignment horizontal="right"/>
    </xf>
    <xf numFmtId="165" fontId="9" fillId="0" borderId="40" xfId="0" applyNumberFormat="1" applyFont="1" applyBorder="1" applyAlignment="1">
      <alignment horizontal="right" wrapText="1"/>
    </xf>
    <xf numFmtId="165" fontId="8" fillId="3" borderId="12" xfId="0" applyNumberFormat="1" applyFont="1" applyFill="1" applyBorder="1" applyAlignment="1">
      <alignment horizontal="right" wrapText="1"/>
    </xf>
    <xf numFmtId="165" fontId="6" fillId="3" borderId="40" xfId="0" applyNumberFormat="1" applyFont="1" applyFill="1" applyBorder="1" applyAlignment="1">
      <alignment horizontal="right" wrapText="1"/>
    </xf>
    <xf numFmtId="165" fontId="7" fillId="6" borderId="14" xfId="0" applyNumberFormat="1" applyFont="1" applyFill="1" applyBorder="1" applyAlignment="1">
      <alignment horizontal="right" wrapText="1"/>
    </xf>
    <xf numFmtId="10" fontId="12" fillId="0" borderId="42" xfId="1" applyNumberFormat="1" applyFont="1" applyBorder="1" applyAlignment="1">
      <alignment horizontal="right" wrapText="1"/>
    </xf>
    <xf numFmtId="165" fontId="7" fillId="0" borderId="9" xfId="0" applyNumberFormat="1" applyFont="1" applyBorder="1" applyAlignment="1">
      <alignment horizontal="right" vertical="center"/>
    </xf>
    <xf numFmtId="165" fontId="18" fillId="0" borderId="9" xfId="0" applyNumberFormat="1" applyFont="1" applyBorder="1" applyAlignment="1">
      <alignment horizontal="right" vertical="center"/>
    </xf>
    <xf numFmtId="165" fontId="3" fillId="0" borderId="9" xfId="0" applyNumberFormat="1" applyFont="1" applyBorder="1" applyAlignment="1">
      <alignment horizontal="right" vertical="center" wrapText="1"/>
    </xf>
    <xf numFmtId="165" fontId="10" fillId="3" borderId="9" xfId="0" applyNumberFormat="1" applyFont="1" applyFill="1" applyBorder="1" applyAlignment="1">
      <alignment horizontal="right" vertical="center"/>
    </xf>
    <xf numFmtId="165" fontId="18" fillId="6" borderId="9" xfId="0" applyNumberFormat="1" applyFont="1" applyFill="1" applyBorder="1" applyAlignment="1">
      <alignment horizontal="right" vertical="center"/>
    </xf>
    <xf numFmtId="165" fontId="3" fillId="0" borderId="9" xfId="0" applyNumberFormat="1" applyFont="1" applyBorder="1" applyAlignment="1">
      <alignment horizontal="center"/>
    </xf>
    <xf numFmtId="165" fontId="9" fillId="0" borderId="9" xfId="0" applyNumberFormat="1" applyFont="1" applyBorder="1" applyAlignment="1">
      <alignment horizontal="right" vertical="center"/>
    </xf>
    <xf numFmtId="165" fontId="3" fillId="6" borderId="9" xfId="0" applyNumberFormat="1" applyFont="1" applyFill="1" applyBorder="1" applyAlignment="1">
      <alignment horizontal="right" vertical="center"/>
    </xf>
    <xf numFmtId="165" fontId="7" fillId="5" borderId="9" xfId="0" applyNumberFormat="1" applyFont="1" applyFill="1" applyBorder="1" applyAlignment="1">
      <alignment horizontal="right" vertical="center"/>
    </xf>
    <xf numFmtId="165" fontId="7" fillId="0" borderId="43" xfId="0" applyNumberFormat="1" applyFont="1" applyBorder="1" applyAlignment="1">
      <alignment horizontal="right" vertical="center"/>
    </xf>
    <xf numFmtId="165" fontId="9" fillId="0" borderId="43" xfId="0" applyNumberFormat="1" applyFont="1" applyBorder="1" applyAlignment="1">
      <alignment horizontal="right" vertical="center"/>
    </xf>
    <xf numFmtId="165" fontId="3" fillId="0" borderId="43" xfId="0" applyNumberFormat="1" applyFont="1" applyBorder="1" applyAlignment="1">
      <alignment horizontal="right" vertical="center" wrapText="1"/>
    </xf>
    <xf numFmtId="165" fontId="10" fillId="3" borderId="43" xfId="0" applyNumberFormat="1" applyFont="1" applyFill="1" applyBorder="1" applyAlignment="1">
      <alignment horizontal="right" vertical="center"/>
    </xf>
    <xf numFmtId="165" fontId="3" fillId="0" borderId="43" xfId="0" applyNumberFormat="1" applyFont="1" applyBorder="1" applyAlignment="1">
      <alignment horizontal="center"/>
    </xf>
    <xf numFmtId="10" fontId="10" fillId="3" borderId="43" xfId="1" applyNumberFormat="1" applyFont="1" applyFill="1" applyBorder="1" applyAlignment="1">
      <alignment horizontal="center" vertical="center"/>
    </xf>
    <xf numFmtId="165" fontId="7" fillId="5" borderId="11" xfId="0" applyNumberFormat="1" applyFont="1" applyFill="1" applyBorder="1" applyAlignment="1">
      <alignment horizontal="right" vertical="center"/>
    </xf>
    <xf numFmtId="165" fontId="18" fillId="5" borderId="11" xfId="0" applyNumberFormat="1" applyFont="1" applyFill="1" applyBorder="1" applyAlignment="1">
      <alignment horizontal="right" vertical="center"/>
    </xf>
    <xf numFmtId="165" fontId="3" fillId="5" borderId="11" xfId="0" applyNumberFormat="1" applyFont="1" applyFill="1" applyBorder="1" applyAlignment="1">
      <alignment horizontal="right" vertical="center"/>
    </xf>
    <xf numFmtId="165" fontId="3" fillId="0" borderId="11" xfId="0" applyNumberFormat="1" applyFont="1" applyBorder="1" applyAlignment="1">
      <alignment horizontal="right" vertical="center" wrapText="1"/>
    </xf>
    <xf numFmtId="165" fontId="10" fillId="3" borderId="11" xfId="0" applyNumberFormat="1" applyFont="1" applyFill="1" applyBorder="1" applyAlignment="1">
      <alignment horizontal="right" vertical="center"/>
    </xf>
    <xf numFmtId="165" fontId="3" fillId="0" borderId="11" xfId="0" applyNumberFormat="1" applyFont="1" applyBorder="1" applyAlignment="1">
      <alignment horizontal="center"/>
    </xf>
    <xf numFmtId="10" fontId="10" fillId="3" borderId="11" xfId="1" applyNumberFormat="1" applyFont="1" applyFill="1" applyBorder="1" applyAlignment="1">
      <alignment horizontal="center" vertical="center"/>
    </xf>
    <xf numFmtId="165" fontId="7" fillId="0" borderId="26" xfId="0" applyNumberFormat="1" applyFont="1" applyBorder="1" applyAlignment="1">
      <alignment horizontal="center"/>
    </xf>
    <xf numFmtId="165" fontId="7" fillId="0" borderId="25" xfId="0" applyNumberFormat="1" applyFont="1" applyBorder="1" applyAlignment="1">
      <alignment horizontal="center"/>
    </xf>
    <xf numFmtId="165" fontId="3" fillId="7" borderId="10" xfId="0" applyNumberFormat="1" applyFont="1" applyFill="1" applyBorder="1" applyAlignment="1">
      <alignment horizontal="right" vertical="center"/>
    </xf>
    <xf numFmtId="165" fontId="3" fillId="7" borderId="34" xfId="0" applyNumberFormat="1" applyFont="1" applyFill="1" applyBorder="1" applyAlignment="1">
      <alignment horizontal="right" vertical="center"/>
    </xf>
    <xf numFmtId="165" fontId="3" fillId="0" borderId="12" xfId="0" applyNumberFormat="1" applyFont="1" applyBorder="1" applyAlignment="1">
      <alignment horizontal="right"/>
    </xf>
    <xf numFmtId="165" fontId="21" fillId="3" borderId="9" xfId="0" applyNumberFormat="1" applyFont="1" applyFill="1" applyBorder="1" applyAlignment="1">
      <alignment horizontal="center"/>
    </xf>
    <xf numFmtId="165" fontId="3" fillId="3" borderId="9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right"/>
    </xf>
    <xf numFmtId="165" fontId="29" fillId="0" borderId="0" xfId="0" applyNumberFormat="1" applyFont="1" applyAlignment="1">
      <alignment horizontal="center"/>
    </xf>
    <xf numFmtId="165" fontId="30" fillId="0" borderId="0" xfId="0" applyNumberFormat="1" applyFont="1"/>
    <xf numFmtId="165" fontId="30" fillId="0" borderId="0" xfId="0" applyNumberFormat="1" applyFont="1" applyAlignment="1">
      <alignment horizontal="right"/>
    </xf>
    <xf numFmtId="165" fontId="3" fillId="5" borderId="8" xfId="0" applyNumberFormat="1" applyFont="1" applyFill="1" applyBorder="1" applyAlignment="1">
      <alignment horizontal="right" vertical="center"/>
    </xf>
    <xf numFmtId="165" fontId="3" fillId="0" borderId="8" xfId="0" applyNumberFormat="1" applyFont="1" applyBorder="1" applyAlignment="1">
      <alignment horizontal="right" vertical="center" wrapText="1"/>
    </xf>
    <xf numFmtId="165" fontId="10" fillId="3" borderId="8" xfId="0" applyNumberFormat="1" applyFont="1" applyFill="1" applyBorder="1" applyAlignment="1">
      <alignment horizontal="right" vertical="center"/>
    </xf>
    <xf numFmtId="165" fontId="3" fillId="0" borderId="8" xfId="0" applyNumberFormat="1" applyFont="1" applyBorder="1" applyAlignment="1">
      <alignment horizontal="center"/>
    </xf>
    <xf numFmtId="10" fontId="10" fillId="3" borderId="8" xfId="1" applyNumberFormat="1" applyFont="1" applyFill="1" applyBorder="1" applyAlignment="1">
      <alignment horizontal="center" vertical="center"/>
    </xf>
    <xf numFmtId="165" fontId="3" fillId="0" borderId="26" xfId="0" applyNumberFormat="1" applyFont="1" applyBorder="1" applyAlignment="1">
      <alignment horizontal="center"/>
    </xf>
    <xf numFmtId="165" fontId="3" fillId="0" borderId="30" xfId="0" applyNumberFormat="1" applyFont="1" applyBorder="1" applyAlignment="1">
      <alignment horizontal="center"/>
    </xf>
    <xf numFmtId="165" fontId="7" fillId="0" borderId="30" xfId="0" applyNumberFormat="1" applyFont="1" applyBorder="1" applyAlignment="1">
      <alignment horizontal="center"/>
    </xf>
    <xf numFmtId="165" fontId="3" fillId="0" borderId="37" xfId="0" applyNumberFormat="1" applyFont="1" applyBorder="1" applyAlignment="1">
      <alignment horizontal="right" vertical="center"/>
    </xf>
    <xf numFmtId="3" fontId="3" fillId="6" borderId="7" xfId="0" applyNumberFormat="1" applyFont="1" applyFill="1" applyBorder="1" applyAlignment="1">
      <alignment horizontal="right" vertical="center"/>
    </xf>
    <xf numFmtId="3" fontId="3" fillId="0" borderId="43" xfId="0" applyNumberFormat="1" applyFont="1" applyBorder="1" applyAlignment="1">
      <alignment horizontal="right" vertical="center"/>
    </xf>
    <xf numFmtId="3" fontId="3" fillId="7" borderId="11" xfId="0" applyNumberFormat="1" applyFont="1" applyFill="1" applyBorder="1" applyAlignment="1">
      <alignment horizontal="right" vertical="center"/>
    </xf>
    <xf numFmtId="165" fontId="3" fillId="0" borderId="10" xfId="0" applyNumberFormat="1" applyFont="1" applyBorder="1" applyAlignment="1">
      <alignment horizontal="right" vertical="center" wrapText="1"/>
    </xf>
    <xf numFmtId="165" fontId="10" fillId="3" borderId="10" xfId="0" applyNumberFormat="1" applyFont="1" applyFill="1" applyBorder="1" applyAlignment="1">
      <alignment horizontal="right" vertical="center"/>
    </xf>
    <xf numFmtId="165" fontId="7" fillId="5" borderId="8" xfId="0" applyNumberFormat="1" applyFont="1" applyFill="1" applyBorder="1" applyAlignment="1">
      <alignment horizontal="right" vertical="center"/>
    </xf>
    <xf numFmtId="165" fontId="18" fillId="5" borderId="8" xfId="0" applyNumberFormat="1" applyFont="1" applyFill="1" applyBorder="1" applyAlignment="1">
      <alignment horizontal="right" vertical="center"/>
    </xf>
    <xf numFmtId="165" fontId="27" fillId="5" borderId="0" xfId="0" applyNumberFormat="1" applyFont="1" applyFill="1" applyAlignment="1">
      <alignment horizontal="center" vertical="center" wrapText="1"/>
    </xf>
    <xf numFmtId="165" fontId="41" fillId="0" borderId="0" xfId="0" applyNumberFormat="1" applyFont="1"/>
    <xf numFmtId="165" fontId="31" fillId="0" borderId="0" xfId="0" applyNumberFormat="1" applyFont="1"/>
    <xf numFmtId="165" fontId="29" fillId="0" borderId="0" xfId="0" applyNumberFormat="1" applyFont="1" applyAlignment="1">
      <alignment horizontal="left"/>
    </xf>
    <xf numFmtId="170" fontId="36" fillId="0" borderId="0" xfId="0" applyNumberFormat="1" applyFont="1" applyAlignment="1">
      <alignment horizontal="center"/>
    </xf>
    <xf numFmtId="165" fontId="47" fillId="0" borderId="5" xfId="0" applyNumberFormat="1" applyFont="1" applyBorder="1" applyAlignment="1">
      <alignment horizontal="right"/>
    </xf>
    <xf numFmtId="165" fontId="5" fillId="6" borderId="0" xfId="0" applyNumberFormat="1" applyFont="1" applyFill="1" applyAlignment="1">
      <alignment horizontal="left"/>
    </xf>
    <xf numFmtId="165" fontId="6" fillId="0" borderId="0" xfId="0" applyNumberFormat="1" applyFont="1" applyAlignment="1">
      <alignment horizontal="right"/>
    </xf>
    <xf numFmtId="165" fontId="3" fillId="5" borderId="28" xfId="0" applyNumberFormat="1" applyFont="1" applyFill="1" applyBorder="1" applyAlignment="1">
      <alignment horizontal="right" vertical="center"/>
    </xf>
    <xf numFmtId="165" fontId="3" fillId="5" borderId="27" xfId="0" applyNumberFormat="1" applyFont="1" applyFill="1" applyBorder="1" applyAlignment="1">
      <alignment horizontal="right" vertical="center"/>
    </xf>
    <xf numFmtId="165" fontId="3" fillId="5" borderId="33" xfId="0" applyNumberFormat="1" applyFont="1" applyFill="1" applyBorder="1" applyAlignment="1">
      <alignment horizontal="right" vertical="center"/>
    </xf>
    <xf numFmtId="1" fontId="4" fillId="0" borderId="20" xfId="0" applyNumberFormat="1" applyFont="1" applyBorder="1" applyAlignment="1">
      <alignment horizontal="center" vertical="center"/>
    </xf>
    <xf numFmtId="165" fontId="29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41" fillId="0" borderId="0" xfId="0" applyNumberFormat="1" applyFont="1" applyAlignment="1">
      <alignment horizontal="center"/>
    </xf>
    <xf numFmtId="165" fontId="42" fillId="0" borderId="0" xfId="0" applyNumberFormat="1" applyFont="1" applyAlignment="1">
      <alignment horizontal="right"/>
    </xf>
    <xf numFmtId="165" fontId="31" fillId="0" borderId="0" xfId="0" applyNumberFormat="1" applyFont="1" applyAlignment="1">
      <alignment horizontal="center"/>
    </xf>
    <xf numFmtId="165" fontId="31" fillId="0" borderId="0" xfId="0" applyNumberFormat="1" applyFont="1" applyAlignment="1">
      <alignment horizontal="right"/>
    </xf>
    <xf numFmtId="165" fontId="32" fillId="0" borderId="0" xfId="0" applyNumberFormat="1" applyFont="1" applyAlignment="1">
      <alignment horizontal="center"/>
    </xf>
    <xf numFmtId="165" fontId="38" fillId="0" borderId="0" xfId="0" applyNumberFormat="1" applyFont="1" applyAlignment="1">
      <alignment horizontal="center"/>
    </xf>
    <xf numFmtId="165" fontId="33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right"/>
    </xf>
    <xf numFmtId="165" fontId="22" fillId="0" borderId="0" xfId="0" applyNumberFormat="1" applyFont="1" applyAlignment="1">
      <alignment horizontal="right"/>
    </xf>
    <xf numFmtId="49" fontId="39" fillId="0" borderId="0" xfId="4" applyNumberFormat="1" applyFont="1" applyBorder="1" applyAlignment="1">
      <alignment horizontal="right" vertical="center" wrapText="1"/>
    </xf>
    <xf numFmtId="165" fontId="44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165" fontId="23" fillId="0" borderId="0" xfId="0" applyNumberFormat="1" applyFont="1" applyAlignment="1">
      <alignment horizontal="center"/>
    </xf>
    <xf numFmtId="165" fontId="22" fillId="0" borderId="0" xfId="0" applyNumberFormat="1" applyFont="1" applyAlignment="1">
      <alignment horizontal="center"/>
    </xf>
    <xf numFmtId="165" fontId="45" fillId="0" borderId="0" xfId="0" applyNumberFormat="1" applyFont="1" applyAlignment="1">
      <alignment horizontal="right"/>
    </xf>
    <xf numFmtId="165" fontId="34" fillId="0" borderId="0" xfId="0" applyNumberFormat="1" applyFont="1" applyAlignment="1">
      <alignment horizontal="right"/>
    </xf>
    <xf numFmtId="165" fontId="35" fillId="0" borderId="0" xfId="0" applyNumberFormat="1" applyFont="1" applyAlignment="1">
      <alignment horizontal="center"/>
    </xf>
    <xf numFmtId="170" fontId="18" fillId="0" borderId="0" xfId="0" applyNumberFormat="1" applyFont="1" applyAlignment="1">
      <alignment horizontal="center"/>
    </xf>
    <xf numFmtId="167" fontId="22" fillId="0" borderId="0" xfId="0" applyNumberFormat="1" applyFont="1" applyAlignment="1">
      <alignment horizontal="center" vertical="center"/>
    </xf>
    <xf numFmtId="167" fontId="23" fillId="0" borderId="0" xfId="0" applyNumberFormat="1" applyFont="1" applyAlignment="1">
      <alignment horizontal="right" vertical="center"/>
    </xf>
    <xf numFmtId="167" fontId="22" fillId="0" borderId="0" xfId="2" applyNumberFormat="1" applyFont="1" applyBorder="1" applyAlignment="1">
      <alignment horizontal="center" vertical="center" wrapText="1"/>
    </xf>
    <xf numFmtId="167" fontId="23" fillId="0" borderId="0" xfId="0" applyNumberFormat="1" applyFont="1" applyAlignment="1">
      <alignment horizontal="center" vertical="center"/>
    </xf>
    <xf numFmtId="165" fontId="13" fillId="6" borderId="0" xfId="0" applyNumberFormat="1" applyFont="1" applyFill="1" applyAlignment="1">
      <alignment horizontal="left"/>
    </xf>
    <xf numFmtId="165" fontId="36" fillId="0" borderId="0" xfId="0" applyNumberFormat="1" applyFont="1" applyAlignment="1">
      <alignment horizontal="right"/>
    </xf>
    <xf numFmtId="165" fontId="36" fillId="0" borderId="0" xfId="0" applyNumberFormat="1" applyFont="1" applyAlignment="1">
      <alignment horizontal="center"/>
    </xf>
    <xf numFmtId="170" fontId="2" fillId="0" borderId="0" xfId="0" applyNumberFormat="1" applyFont="1" applyAlignment="1">
      <alignment horizontal="center"/>
    </xf>
    <xf numFmtId="165" fontId="37" fillId="0" borderId="0" xfId="0" applyNumberFormat="1" applyFont="1" applyAlignment="1">
      <alignment horizontal="center"/>
    </xf>
    <xf numFmtId="166" fontId="14" fillId="4" borderId="0" xfId="0" applyNumberFormat="1" applyFont="1" applyFill="1" applyAlignment="1">
      <alignment horizontal="right" vertical="center"/>
    </xf>
    <xf numFmtId="165" fontId="40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center"/>
    </xf>
    <xf numFmtId="165" fontId="3" fillId="0" borderId="9" xfId="0" applyNumberFormat="1" applyFont="1" applyBorder="1" applyAlignment="1">
      <alignment horizontal="right"/>
    </xf>
    <xf numFmtId="165" fontId="25" fillId="0" borderId="9" xfId="0" applyNumberFormat="1" applyFont="1" applyBorder="1" applyAlignment="1">
      <alignment horizontal="right"/>
    </xf>
    <xf numFmtId="165" fontId="3" fillId="5" borderId="52" xfId="0" applyNumberFormat="1" applyFont="1" applyFill="1" applyBorder="1" applyAlignment="1">
      <alignment horizontal="right" vertical="center"/>
    </xf>
    <xf numFmtId="3" fontId="3" fillId="6" borderId="52" xfId="0" applyNumberFormat="1" applyFont="1" applyFill="1" applyBorder="1" applyAlignment="1">
      <alignment horizontal="right" vertical="center"/>
    </xf>
    <xf numFmtId="165" fontId="48" fillId="0" borderId="43" xfId="0" applyNumberFormat="1" applyFont="1" applyBorder="1" applyAlignment="1">
      <alignment horizontal="right" wrapText="1"/>
    </xf>
    <xf numFmtId="165" fontId="3" fillId="0" borderId="7" xfId="0" applyNumberFormat="1" applyFont="1" applyBorder="1" applyAlignment="1">
      <alignment horizontal="right" wrapText="1"/>
    </xf>
    <xf numFmtId="165" fontId="10" fillId="3" borderId="35" xfId="0" applyNumberFormat="1" applyFont="1" applyFill="1" applyBorder="1" applyAlignment="1">
      <alignment horizontal="right" vertical="center"/>
    </xf>
    <xf numFmtId="165" fontId="18" fillId="5" borderId="9" xfId="0" applyNumberFormat="1" applyFont="1" applyFill="1" applyBorder="1" applyAlignment="1">
      <alignment horizontal="right" vertical="center"/>
    </xf>
    <xf numFmtId="165" fontId="49" fillId="6" borderId="9" xfId="0" applyNumberFormat="1" applyFont="1" applyFill="1" applyBorder="1" applyAlignment="1">
      <alignment horizontal="right" vertical="center"/>
    </xf>
    <xf numFmtId="165" fontId="49" fillId="0" borderId="9" xfId="0" applyNumberFormat="1" applyFont="1" applyBorder="1" applyAlignment="1">
      <alignment horizontal="right" vertical="center"/>
    </xf>
    <xf numFmtId="165" fontId="49" fillId="0" borderId="43" xfId="0" applyNumberFormat="1" applyFont="1" applyBorder="1" applyAlignment="1">
      <alignment horizontal="right" vertical="center"/>
    </xf>
    <xf numFmtId="165" fontId="49" fillId="5" borderId="11" xfId="0" applyNumberFormat="1" applyFont="1" applyFill="1" applyBorder="1" applyAlignment="1">
      <alignment horizontal="right" vertical="center"/>
    </xf>
    <xf numFmtId="165" fontId="49" fillId="5" borderId="9" xfId="0" applyNumberFormat="1" applyFont="1" applyFill="1" applyBorder="1" applyAlignment="1">
      <alignment horizontal="right" vertical="center"/>
    </xf>
    <xf numFmtId="165" fontId="49" fillId="0" borderId="10" xfId="0" applyNumberFormat="1" applyFont="1" applyBorder="1" applyAlignment="1">
      <alignment horizontal="right" vertical="center"/>
    </xf>
    <xf numFmtId="165" fontId="49" fillId="5" borderId="8" xfId="0" applyNumberFormat="1" applyFont="1" applyFill="1" applyBorder="1" applyAlignment="1">
      <alignment horizontal="right" vertical="center"/>
    </xf>
    <xf numFmtId="165" fontId="49" fillId="5" borderId="10" xfId="0" applyNumberFormat="1" applyFont="1" applyFill="1" applyBorder="1" applyAlignment="1">
      <alignment horizontal="right" vertical="center"/>
    </xf>
    <xf numFmtId="165" fontId="49" fillId="5" borderId="43" xfId="0" applyNumberFormat="1" applyFont="1" applyFill="1" applyBorder="1" applyAlignment="1">
      <alignment horizontal="right" vertical="center"/>
    </xf>
    <xf numFmtId="165" fontId="49" fillId="5" borderId="52" xfId="0" applyNumberFormat="1" applyFont="1" applyFill="1" applyBorder="1" applyAlignment="1">
      <alignment horizontal="right" vertical="center"/>
    </xf>
    <xf numFmtId="3" fontId="49" fillId="6" borderId="52" xfId="0" applyNumberFormat="1" applyFont="1" applyFill="1" applyBorder="1" applyAlignment="1">
      <alignment horizontal="right" vertical="center"/>
    </xf>
    <xf numFmtId="3" fontId="49" fillId="6" borderId="10" xfId="0" applyNumberFormat="1" applyFont="1" applyFill="1" applyBorder="1" applyAlignment="1">
      <alignment horizontal="right" vertical="center"/>
    </xf>
    <xf numFmtId="3" fontId="49" fillId="6" borderId="7" xfId="0" applyNumberFormat="1" applyFont="1" applyFill="1" applyBorder="1" applyAlignment="1">
      <alignment horizontal="right" vertical="center"/>
    </xf>
    <xf numFmtId="165" fontId="3" fillId="0" borderId="17" xfId="0" applyNumberFormat="1" applyFont="1" applyBorder="1" applyAlignment="1">
      <alignment horizontal="center"/>
    </xf>
    <xf numFmtId="165" fontId="3" fillId="0" borderId="31" xfId="0" applyNumberFormat="1" applyFont="1" applyBorder="1" applyAlignment="1">
      <alignment horizontal="center"/>
    </xf>
    <xf numFmtId="165" fontId="25" fillId="0" borderId="0" xfId="0" applyNumberFormat="1" applyFont="1" applyAlignment="1">
      <alignment horizontal="right"/>
    </xf>
    <xf numFmtId="165" fontId="3" fillId="0" borderId="9" xfId="0" applyNumberFormat="1" applyFont="1" applyBorder="1" applyAlignment="1">
      <alignment vertical="center"/>
    </xf>
    <xf numFmtId="165" fontId="3" fillId="5" borderId="9" xfId="0" applyNumberFormat="1" applyFont="1" applyFill="1" applyBorder="1" applyAlignment="1">
      <alignment vertical="center"/>
    </xf>
    <xf numFmtId="165" fontId="9" fillId="0" borderId="5" xfId="0" applyNumberFormat="1" applyFont="1" applyBorder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165" fontId="27" fillId="0" borderId="18" xfId="0" applyNumberFormat="1" applyFont="1" applyBorder="1" applyAlignment="1">
      <alignment horizontal="center" vertical="center" wrapText="1"/>
    </xf>
    <xf numFmtId="165" fontId="27" fillId="0" borderId="24" xfId="0" applyNumberFormat="1" applyFont="1" applyBorder="1" applyAlignment="1">
      <alignment horizontal="center" vertical="center" wrapText="1"/>
    </xf>
    <xf numFmtId="165" fontId="7" fillId="0" borderId="31" xfId="0" applyNumberFormat="1" applyFont="1" applyBorder="1" applyAlignment="1">
      <alignment horizontal="right" vertical="center"/>
    </xf>
    <xf numFmtId="165" fontId="7" fillId="0" borderId="32" xfId="0" applyNumberFormat="1" applyFont="1" applyBorder="1" applyAlignment="1">
      <alignment horizontal="right" vertical="center"/>
    </xf>
    <xf numFmtId="165" fontId="46" fillId="0" borderId="26" xfId="0" applyNumberFormat="1" applyFont="1" applyBorder="1" applyAlignment="1">
      <alignment horizontal="center" vertical="center" wrapText="1"/>
    </xf>
    <xf numFmtId="165" fontId="46" fillId="0" borderId="25" xfId="0" applyNumberFormat="1" applyFont="1" applyBorder="1" applyAlignment="1">
      <alignment horizontal="center" vertical="center" wrapText="1"/>
    </xf>
    <xf numFmtId="165" fontId="46" fillId="0" borderId="30" xfId="0" applyNumberFormat="1" applyFont="1" applyBorder="1" applyAlignment="1">
      <alignment horizontal="center" vertical="center" wrapText="1"/>
    </xf>
    <xf numFmtId="165" fontId="3" fillId="5" borderId="17" xfId="0" applyNumberFormat="1" applyFont="1" applyFill="1" applyBorder="1" applyAlignment="1">
      <alignment horizontal="right" vertical="center"/>
    </xf>
    <xf numFmtId="165" fontId="3" fillId="5" borderId="31" xfId="0" applyNumberFormat="1" applyFont="1" applyFill="1" applyBorder="1" applyAlignment="1">
      <alignment horizontal="right" vertical="center"/>
    </xf>
    <xf numFmtId="165" fontId="3" fillId="5" borderId="32" xfId="0" applyNumberFormat="1" applyFont="1" applyFill="1" applyBorder="1" applyAlignment="1">
      <alignment horizontal="right" vertical="center"/>
    </xf>
    <xf numFmtId="165" fontId="3" fillId="5" borderId="56" xfId="0" applyNumberFormat="1" applyFont="1" applyFill="1" applyBorder="1" applyAlignment="1">
      <alignment horizontal="right" vertical="center"/>
    </xf>
    <xf numFmtId="165" fontId="9" fillId="0" borderId="22" xfId="0" applyNumberFormat="1" applyFont="1" applyBorder="1" applyAlignment="1">
      <alignment horizontal="center" vertical="center"/>
    </xf>
    <xf numFmtId="165" fontId="27" fillId="5" borderId="24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/>
    </xf>
    <xf numFmtId="165" fontId="3" fillId="0" borderId="45" xfId="0" applyNumberFormat="1" applyFont="1" applyBorder="1" applyAlignment="1">
      <alignment horizontal="center"/>
    </xf>
    <xf numFmtId="3" fontId="3" fillId="7" borderId="9" xfId="0" applyNumberFormat="1" applyFont="1" applyFill="1" applyBorder="1" applyAlignment="1">
      <alignment horizontal="right" vertical="center"/>
    </xf>
    <xf numFmtId="3" fontId="3" fillId="7" borderId="8" xfId="0" applyNumberFormat="1" applyFont="1" applyFill="1" applyBorder="1" applyAlignment="1">
      <alignment horizontal="right" vertical="center"/>
    </xf>
    <xf numFmtId="165" fontId="3" fillId="0" borderId="49" xfId="0" applyNumberFormat="1" applyFont="1" applyBorder="1" applyAlignment="1">
      <alignment horizontal="center"/>
    </xf>
    <xf numFmtId="165" fontId="3" fillId="7" borderId="9" xfId="0" applyNumberFormat="1" applyFont="1" applyFill="1" applyBorder="1" applyAlignment="1">
      <alignment vertical="center"/>
    </xf>
    <xf numFmtId="165" fontId="3" fillId="7" borderId="8" xfId="0" applyNumberFormat="1" applyFont="1" applyFill="1" applyBorder="1" applyAlignment="1">
      <alignment vertical="center"/>
    </xf>
    <xf numFmtId="165" fontId="3" fillId="5" borderId="8" xfId="0" applyNumberFormat="1" applyFont="1" applyFill="1" applyBorder="1" applyAlignment="1">
      <alignment vertical="center"/>
    </xf>
    <xf numFmtId="165" fontId="3" fillId="0" borderId="8" xfId="0" applyNumberFormat="1" applyFont="1" applyBorder="1" applyAlignment="1">
      <alignment vertical="center"/>
    </xf>
    <xf numFmtId="165" fontId="29" fillId="0" borderId="9" xfId="0" applyNumberFormat="1" applyFont="1" applyBorder="1" applyAlignment="1">
      <alignment horizontal="right" vertical="center"/>
    </xf>
    <xf numFmtId="165" fontId="29" fillId="7" borderId="9" xfId="0" applyNumberFormat="1" applyFont="1" applyFill="1" applyBorder="1" applyAlignment="1">
      <alignment horizontal="right" vertical="center"/>
    </xf>
    <xf numFmtId="3" fontId="29" fillId="0" borderId="9" xfId="0" applyNumberFormat="1" applyFont="1" applyBorder="1" applyAlignment="1">
      <alignment horizontal="right" vertical="center"/>
    </xf>
    <xf numFmtId="165" fontId="3" fillId="0" borderId="61" xfId="0" applyNumberFormat="1" applyFont="1" applyBorder="1" applyAlignment="1">
      <alignment horizontal="right" vertical="center" wrapText="1"/>
    </xf>
    <xf numFmtId="165" fontId="3" fillId="0" borderId="44" xfId="0" applyNumberFormat="1" applyFont="1" applyBorder="1" applyAlignment="1">
      <alignment horizontal="right" vertical="center" wrapText="1"/>
    </xf>
    <xf numFmtId="165" fontId="50" fillId="8" borderId="10" xfId="0" applyNumberFormat="1" applyFont="1" applyFill="1" applyBorder="1" applyAlignment="1">
      <alignment horizontal="right" vertical="center"/>
    </xf>
    <xf numFmtId="165" fontId="29" fillId="0" borderId="10" xfId="0" applyNumberFormat="1" applyFont="1" applyBorder="1" applyAlignment="1">
      <alignment horizontal="right" vertical="center" wrapText="1"/>
    </xf>
    <xf numFmtId="165" fontId="51" fillId="3" borderId="10" xfId="0" applyNumberFormat="1" applyFont="1" applyFill="1" applyBorder="1" applyAlignment="1">
      <alignment horizontal="right" vertical="center"/>
    </xf>
    <xf numFmtId="165" fontId="51" fillId="3" borderId="9" xfId="0" applyNumberFormat="1" applyFont="1" applyFill="1" applyBorder="1" applyAlignment="1">
      <alignment horizontal="right" vertical="center"/>
    </xf>
    <xf numFmtId="165" fontId="12" fillId="0" borderId="8" xfId="0" applyNumberFormat="1" applyFont="1" applyBorder="1" applyAlignment="1">
      <alignment horizontal="right" vertical="center"/>
    </xf>
    <xf numFmtId="165" fontId="52" fillId="0" borderId="9" xfId="0" applyNumberFormat="1" applyFont="1" applyBorder="1" applyAlignment="1">
      <alignment horizontal="right" vertical="center"/>
    </xf>
    <xf numFmtId="165" fontId="52" fillId="0" borderId="43" xfId="0" applyNumberFormat="1" applyFont="1" applyBorder="1" applyAlignment="1">
      <alignment horizontal="right" vertical="center"/>
    </xf>
    <xf numFmtId="165" fontId="52" fillId="5" borderId="11" xfId="0" applyNumberFormat="1" applyFont="1" applyFill="1" applyBorder="1" applyAlignment="1">
      <alignment horizontal="right" vertical="center"/>
    </xf>
    <xf numFmtId="165" fontId="52" fillId="5" borderId="9" xfId="0" applyNumberFormat="1" applyFont="1" applyFill="1" applyBorder="1" applyAlignment="1">
      <alignment horizontal="right" vertical="center"/>
    </xf>
    <xf numFmtId="165" fontId="52" fillId="5" borderId="8" xfId="0" applyNumberFormat="1" applyFont="1" applyFill="1" applyBorder="1" applyAlignment="1">
      <alignment horizontal="right" vertical="center"/>
    </xf>
    <xf numFmtId="165" fontId="52" fillId="5" borderId="10" xfId="0" applyNumberFormat="1" applyFont="1" applyFill="1" applyBorder="1" applyAlignment="1">
      <alignment horizontal="right" vertical="center"/>
    </xf>
    <xf numFmtId="165" fontId="52" fillId="0" borderId="10" xfId="0" applyNumberFormat="1" applyFont="1" applyBorder="1" applyAlignment="1">
      <alignment horizontal="right" vertical="center"/>
    </xf>
    <xf numFmtId="165" fontId="52" fillId="5" borderId="43" xfId="0" applyNumberFormat="1" applyFont="1" applyFill="1" applyBorder="1" applyAlignment="1">
      <alignment horizontal="right" vertical="center"/>
    </xf>
    <xf numFmtId="165" fontId="52" fillId="0" borderId="52" xfId="0" applyNumberFormat="1" applyFont="1" applyBorder="1" applyAlignment="1">
      <alignment horizontal="right" vertical="center"/>
    </xf>
    <xf numFmtId="3" fontId="52" fillId="6" borderId="45" xfId="0" applyNumberFormat="1" applyFont="1" applyFill="1" applyBorder="1" applyAlignment="1">
      <alignment horizontal="right" vertical="center"/>
    </xf>
    <xf numFmtId="3" fontId="52" fillId="6" borderId="10" xfId="0" applyNumberFormat="1" applyFont="1" applyFill="1" applyBorder="1" applyAlignment="1">
      <alignment horizontal="right" vertical="center"/>
    </xf>
    <xf numFmtId="3" fontId="52" fillId="6" borderId="7" xfId="0" applyNumberFormat="1" applyFont="1" applyFill="1" applyBorder="1" applyAlignment="1">
      <alignment horizontal="right" vertical="center"/>
    </xf>
    <xf numFmtId="165" fontId="52" fillId="5" borderId="7" xfId="0" applyNumberFormat="1" applyFont="1" applyFill="1" applyBorder="1" applyAlignment="1">
      <alignment horizontal="right" vertical="center"/>
    </xf>
    <xf numFmtId="165" fontId="10" fillId="0" borderId="42" xfId="0" applyNumberFormat="1" applyFont="1" applyBorder="1" applyAlignment="1">
      <alignment horizontal="right"/>
    </xf>
    <xf numFmtId="165" fontId="12" fillId="0" borderId="9" xfId="0" applyNumberFormat="1" applyFont="1" applyBorder="1" applyAlignment="1">
      <alignment vertical="center"/>
    </xf>
    <xf numFmtId="165" fontId="12" fillId="0" borderId="9" xfId="0" applyNumberFormat="1" applyFont="1" applyBorder="1" applyAlignment="1">
      <alignment horizontal="right" vertical="center"/>
    </xf>
    <xf numFmtId="165" fontId="12" fillId="0" borderId="43" xfId="0" applyNumberFormat="1" applyFont="1" applyBorder="1" applyAlignment="1">
      <alignment horizontal="right" vertical="center"/>
    </xf>
    <xf numFmtId="165" fontId="12" fillId="0" borderId="11" xfId="0" applyNumberFormat="1" applyFont="1" applyBorder="1" applyAlignment="1">
      <alignment horizontal="right" vertical="center"/>
    </xf>
    <xf numFmtId="165" fontId="12" fillId="0" borderId="10" xfId="0" applyNumberFormat="1" applyFont="1" applyBorder="1" applyAlignment="1">
      <alignment horizontal="right" vertical="center"/>
    </xf>
    <xf numFmtId="165" fontId="12" fillId="0" borderId="35" xfId="0" applyNumberFormat="1" applyFont="1" applyBorder="1" applyAlignment="1">
      <alignment horizontal="right" vertical="center"/>
    </xf>
    <xf numFmtId="165" fontId="12" fillId="0" borderId="45" xfId="0" applyNumberFormat="1" applyFont="1" applyBorder="1" applyAlignment="1">
      <alignment horizontal="right" vertical="center"/>
    </xf>
    <xf numFmtId="165" fontId="12" fillId="0" borderId="25" xfId="0" applyNumberFormat="1" applyFont="1" applyBorder="1" applyAlignment="1">
      <alignment horizontal="right" vertical="center"/>
    </xf>
    <xf numFmtId="165" fontId="12" fillId="0" borderId="49" xfId="0" applyNumberFormat="1" applyFont="1" applyBorder="1" applyAlignment="1">
      <alignment horizontal="right" vertical="center"/>
    </xf>
    <xf numFmtId="165" fontId="12" fillId="0" borderId="51" xfId="0" applyNumberFormat="1" applyFont="1" applyBorder="1" applyAlignment="1">
      <alignment horizontal="right" vertical="center"/>
    </xf>
    <xf numFmtId="165" fontId="12" fillId="0" borderId="0" xfId="0" applyNumberFormat="1" applyFont="1" applyAlignment="1">
      <alignment horizontal="right" vertical="center"/>
    </xf>
    <xf numFmtId="165" fontId="51" fillId="0" borderId="11" xfId="0" applyNumberFormat="1" applyFont="1" applyBorder="1" applyAlignment="1">
      <alignment horizontal="right" vertical="center"/>
    </xf>
    <xf numFmtId="165" fontId="10" fillId="0" borderId="11" xfId="0" applyNumberFormat="1" applyFont="1" applyBorder="1" applyAlignment="1">
      <alignment horizontal="right" vertical="center"/>
    </xf>
    <xf numFmtId="165" fontId="10" fillId="0" borderId="9" xfId="0" applyNumberFormat="1" applyFont="1" applyBorder="1" applyAlignment="1">
      <alignment horizontal="right" vertical="center"/>
    </xf>
    <xf numFmtId="165" fontId="10" fillId="0" borderId="8" xfId="0" applyNumberFormat="1" applyFont="1" applyBorder="1" applyAlignment="1">
      <alignment horizontal="right" vertical="center"/>
    </xf>
    <xf numFmtId="165" fontId="3" fillId="7" borderId="55" xfId="0" applyNumberFormat="1" applyFont="1" applyFill="1" applyBorder="1" applyAlignment="1">
      <alignment horizontal="right" vertical="center"/>
    </xf>
    <xf numFmtId="165" fontId="3" fillId="0" borderId="22" xfId="0" applyNumberFormat="1" applyFont="1" applyBorder="1"/>
    <xf numFmtId="165" fontId="24" fillId="0" borderId="14" xfId="0" applyNumberFormat="1" applyFont="1" applyBorder="1" applyAlignment="1">
      <alignment horizontal="right" wrapText="1"/>
    </xf>
    <xf numFmtId="165" fontId="15" fillId="0" borderId="0" xfId="0" applyNumberFormat="1" applyFont="1" applyAlignment="1">
      <alignment horizontal="center"/>
    </xf>
    <xf numFmtId="165" fontId="18" fillId="0" borderId="14" xfId="0" applyNumberFormat="1" applyFont="1" applyBorder="1" applyAlignment="1">
      <alignment horizontal="right" wrapText="1"/>
    </xf>
    <xf numFmtId="165" fontId="15" fillId="0" borderId="9" xfId="0" applyNumberFormat="1" applyFont="1" applyBorder="1" applyAlignment="1">
      <alignment horizontal="center"/>
    </xf>
    <xf numFmtId="165" fontId="7" fillId="0" borderId="20" xfId="0" applyNumberFormat="1" applyFont="1" applyBorder="1" applyAlignment="1">
      <alignment horizontal="left"/>
    </xf>
    <xf numFmtId="165" fontId="13" fillId="0" borderId="18" xfId="0" applyNumberFormat="1" applyFont="1" applyBorder="1" applyAlignment="1">
      <alignment horizontal="center"/>
    </xf>
    <xf numFmtId="165" fontId="13" fillId="0" borderId="40" xfId="0" applyNumberFormat="1" applyFont="1" applyBorder="1" applyAlignment="1">
      <alignment horizontal="left"/>
    </xf>
    <xf numFmtId="165" fontId="46" fillId="0" borderId="65" xfId="0" applyNumberFormat="1" applyFont="1" applyBorder="1" applyAlignment="1">
      <alignment horizontal="center" vertical="center" wrapText="1"/>
    </xf>
    <xf numFmtId="165" fontId="46" fillId="0" borderId="23" xfId="0" applyNumberFormat="1" applyFont="1" applyBorder="1" applyAlignment="1">
      <alignment horizontal="center" vertical="center" wrapText="1"/>
    </xf>
    <xf numFmtId="165" fontId="46" fillId="0" borderId="66" xfId="0" applyNumberFormat="1" applyFont="1" applyBorder="1" applyAlignment="1">
      <alignment horizontal="center" vertical="center" wrapText="1"/>
    </xf>
    <xf numFmtId="165" fontId="46" fillId="0" borderId="17" xfId="0" applyNumberFormat="1" applyFont="1" applyBorder="1" applyAlignment="1">
      <alignment horizontal="center" vertical="center" wrapText="1"/>
    </xf>
    <xf numFmtId="165" fontId="46" fillId="0" borderId="31" xfId="0" applyNumberFormat="1" applyFont="1" applyBorder="1" applyAlignment="1">
      <alignment horizontal="center" vertical="center" wrapText="1"/>
    </xf>
    <xf numFmtId="165" fontId="46" fillId="0" borderId="32" xfId="0" applyNumberFormat="1" applyFont="1" applyBorder="1" applyAlignment="1">
      <alignment horizontal="center" vertical="center" wrapText="1"/>
    </xf>
    <xf numFmtId="165" fontId="26" fillId="0" borderId="65" xfId="0" applyNumberFormat="1" applyFont="1" applyBorder="1" applyAlignment="1">
      <alignment horizontal="center" vertical="center" wrapText="1"/>
    </xf>
    <xf numFmtId="165" fontId="26" fillId="0" borderId="23" xfId="0" applyNumberFormat="1" applyFont="1" applyBorder="1" applyAlignment="1">
      <alignment horizontal="center" vertical="center" wrapText="1"/>
    </xf>
    <xf numFmtId="165" fontId="26" fillId="0" borderId="68" xfId="0" applyNumberFormat="1" applyFont="1" applyBorder="1" applyAlignment="1">
      <alignment horizontal="center" vertical="center" wrapText="1"/>
    </xf>
    <xf numFmtId="165" fontId="26" fillId="0" borderId="66" xfId="0" applyNumberFormat="1" applyFont="1" applyBorder="1" applyAlignment="1">
      <alignment horizontal="center" vertical="center" wrapText="1"/>
    </xf>
    <xf numFmtId="165" fontId="3" fillId="0" borderId="56" xfId="0" applyNumberFormat="1" applyFont="1" applyBorder="1" applyAlignment="1">
      <alignment horizontal="center"/>
    </xf>
    <xf numFmtId="165" fontId="7" fillId="5" borderId="17" xfId="0" applyNumberFormat="1" applyFont="1" applyFill="1" applyBorder="1" applyAlignment="1">
      <alignment horizontal="right" vertical="center"/>
    </xf>
    <xf numFmtId="165" fontId="7" fillId="5" borderId="31" xfId="0" applyNumberFormat="1" applyFont="1" applyFill="1" applyBorder="1" applyAlignment="1">
      <alignment horizontal="right" vertical="center"/>
    </xf>
    <xf numFmtId="165" fontId="7" fillId="5" borderId="56" xfId="0" applyNumberFormat="1" applyFont="1" applyFill="1" applyBorder="1" applyAlignment="1">
      <alignment horizontal="right" vertical="center"/>
    </xf>
    <xf numFmtId="165" fontId="26" fillId="0" borderId="4" xfId="0" applyNumberFormat="1" applyFont="1" applyBorder="1" applyAlignment="1">
      <alignment horizontal="center" vertical="center" wrapText="1"/>
    </xf>
    <xf numFmtId="165" fontId="26" fillId="0" borderId="3" xfId="0" applyNumberFormat="1" applyFont="1" applyBorder="1" applyAlignment="1">
      <alignment horizontal="center" vertical="center" wrapText="1"/>
    </xf>
    <xf numFmtId="165" fontId="26" fillId="0" borderId="70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/>
    </xf>
    <xf numFmtId="165" fontId="3" fillId="3" borderId="9" xfId="0" applyNumberFormat="1" applyFont="1" applyFill="1" applyBorder="1" applyAlignment="1">
      <alignment horizontal="right"/>
    </xf>
    <xf numFmtId="165" fontId="3" fillId="0" borderId="55" xfId="0" applyNumberFormat="1" applyFont="1" applyBorder="1" applyAlignment="1">
      <alignment horizontal="right"/>
    </xf>
    <xf numFmtId="165" fontId="3" fillId="0" borderId="4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70" xfId="0" applyNumberFormat="1" applyFont="1" applyBorder="1" applyAlignment="1">
      <alignment horizontal="right"/>
    </xf>
    <xf numFmtId="165" fontId="50" fillId="8" borderId="43" xfId="0" applyNumberFormat="1" applyFont="1" applyFill="1" applyBorder="1" applyAlignment="1">
      <alignment horizontal="right" vertical="center"/>
    </xf>
    <xf numFmtId="165" fontId="51" fillId="0" borderId="14" xfId="0" applyNumberFormat="1" applyFont="1" applyBorder="1" applyAlignment="1">
      <alignment horizontal="right" vertical="center"/>
    </xf>
    <xf numFmtId="165" fontId="29" fillId="0" borderId="43" xfId="0" applyNumberFormat="1" applyFont="1" applyBorder="1" applyAlignment="1">
      <alignment horizontal="right" vertical="center" wrapText="1"/>
    </xf>
    <xf numFmtId="165" fontId="51" fillId="3" borderId="43" xfId="0" applyNumberFormat="1" applyFont="1" applyFill="1" applyBorder="1" applyAlignment="1">
      <alignment horizontal="right" vertical="center"/>
    </xf>
    <xf numFmtId="165" fontId="26" fillId="0" borderId="41" xfId="0" applyNumberFormat="1" applyFont="1" applyBorder="1" applyAlignment="1">
      <alignment horizontal="center" vertical="center" wrapText="1"/>
    </xf>
    <xf numFmtId="165" fontId="10" fillId="0" borderId="43" xfId="0" applyNumberFormat="1" applyFont="1" applyBorder="1" applyAlignment="1">
      <alignment horizontal="right" vertical="center"/>
    </xf>
    <xf numFmtId="165" fontId="38" fillId="0" borderId="0" xfId="0" applyNumberFormat="1" applyFont="1" applyAlignment="1">
      <alignment horizontal="left"/>
    </xf>
    <xf numFmtId="165" fontId="21" fillId="3" borderId="8" xfId="0" applyNumberFormat="1" applyFont="1" applyFill="1" applyBorder="1" applyAlignment="1">
      <alignment horizontal="center"/>
    </xf>
    <xf numFmtId="165" fontId="3" fillId="3" borderId="8" xfId="0" applyNumberFormat="1" applyFont="1" applyFill="1" applyBorder="1" applyAlignment="1">
      <alignment horizontal="center"/>
    </xf>
    <xf numFmtId="165" fontId="3" fillId="0" borderId="8" xfId="0" applyNumberFormat="1" applyFont="1" applyBorder="1" applyAlignment="1">
      <alignment horizontal="right"/>
    </xf>
    <xf numFmtId="165" fontId="3" fillId="3" borderId="8" xfId="0" applyNumberFormat="1" applyFont="1" applyFill="1" applyBorder="1" applyAlignment="1">
      <alignment horizontal="right"/>
    </xf>
    <xf numFmtId="165" fontId="6" fillId="2" borderId="8" xfId="0" applyNumberFormat="1" applyFont="1" applyFill="1" applyBorder="1" applyAlignment="1">
      <alignment horizontal="right"/>
    </xf>
    <xf numFmtId="165" fontId="3" fillId="0" borderId="71" xfId="0" applyNumberFormat="1" applyFont="1" applyBorder="1" applyAlignment="1">
      <alignment horizontal="right"/>
    </xf>
    <xf numFmtId="165" fontId="13" fillId="6" borderId="0" xfId="0" applyNumberFormat="1" applyFont="1" applyFill="1" applyAlignment="1">
      <alignment horizontal="left" vertical="top"/>
    </xf>
    <xf numFmtId="165" fontId="2" fillId="0" borderId="18" xfId="0" applyNumberFormat="1" applyFont="1" applyBorder="1" applyAlignment="1">
      <alignment horizontal="center"/>
    </xf>
    <xf numFmtId="165" fontId="2" fillId="0" borderId="18" xfId="0" applyNumberFormat="1" applyFont="1" applyBorder="1"/>
    <xf numFmtId="165" fontId="0" fillId="6" borderId="36" xfId="0" applyNumberFormat="1" applyFill="1" applyBorder="1" applyAlignment="1">
      <alignment horizontal="center"/>
    </xf>
    <xf numFmtId="165" fontId="0" fillId="0" borderId="27" xfId="0" applyNumberFormat="1" applyBorder="1" applyAlignment="1">
      <alignment horizontal="left"/>
    </xf>
    <xf numFmtId="165" fontId="0" fillId="0" borderId="45" xfId="0" applyNumberFormat="1" applyBorder="1" applyAlignment="1">
      <alignment horizontal="center"/>
    </xf>
    <xf numFmtId="165" fontId="0" fillId="0" borderId="25" xfId="0" applyNumberFormat="1" applyBorder="1" applyAlignment="1">
      <alignment horizontal="left"/>
    </xf>
    <xf numFmtId="165" fontId="0" fillId="6" borderId="27" xfId="0" applyNumberFormat="1" applyFill="1" applyBorder="1" applyAlignment="1">
      <alignment horizontal="center"/>
    </xf>
    <xf numFmtId="165" fontId="0" fillId="6" borderId="9" xfId="0" applyNumberFormat="1" applyFill="1" applyBorder="1" applyAlignment="1">
      <alignment horizontal="center"/>
    </xf>
    <xf numFmtId="165" fontId="0" fillId="0" borderId="25" xfId="0" applyNumberFormat="1" applyBorder="1" applyAlignment="1">
      <alignment horizontal="center"/>
    </xf>
    <xf numFmtId="165" fontId="0" fillId="0" borderId="33" xfId="0" applyNumberFormat="1" applyBorder="1" applyAlignment="1">
      <alignment horizontal="center"/>
    </xf>
    <xf numFmtId="165" fontId="0" fillId="6" borderId="8" xfId="0" applyNumberFormat="1" applyFill="1" applyBorder="1" applyAlignment="1">
      <alignment horizontal="center"/>
    </xf>
    <xf numFmtId="165" fontId="0" fillId="6" borderId="30" xfId="0" applyNumberFormat="1" applyFill="1" applyBorder="1" applyAlignment="1">
      <alignment horizontal="center" vertical="top"/>
    </xf>
    <xf numFmtId="10" fontId="0" fillId="0" borderId="10" xfId="1" applyNumberFormat="1" applyFont="1" applyBorder="1" applyAlignment="1"/>
    <xf numFmtId="10" fontId="0" fillId="0" borderId="10" xfId="1" applyNumberFormat="1" applyFont="1" applyBorder="1" applyAlignment="1">
      <alignment horizontal="left"/>
    </xf>
    <xf numFmtId="165" fontId="13" fillId="0" borderId="0" xfId="0" applyNumberFormat="1" applyFont="1"/>
    <xf numFmtId="165" fontId="26" fillId="0" borderId="6" xfId="0" applyNumberFormat="1" applyFont="1" applyBorder="1" applyAlignment="1">
      <alignment horizontal="center" vertical="center" wrapText="1"/>
    </xf>
    <xf numFmtId="165" fontId="26" fillId="0" borderId="12" xfId="0" applyNumberFormat="1" applyFont="1" applyBorder="1" applyAlignment="1">
      <alignment horizontal="center" vertical="center" wrapText="1"/>
    </xf>
    <xf numFmtId="172" fontId="5" fillId="0" borderId="9" xfId="5" applyNumberFormat="1" applyFont="1" applyFill="1" applyBorder="1" applyAlignment="1">
      <alignment horizontal="right" vertical="center"/>
    </xf>
    <xf numFmtId="172" fontId="13" fillId="0" borderId="33" xfId="5" applyNumberFormat="1" applyFont="1" applyFill="1" applyBorder="1" applyAlignment="1">
      <alignment vertical="center"/>
    </xf>
    <xf numFmtId="172" fontId="13" fillId="0" borderId="8" xfId="5" applyNumberFormat="1" applyFont="1" applyFill="1" applyBorder="1" applyAlignment="1">
      <alignment vertical="center"/>
    </xf>
    <xf numFmtId="172" fontId="31" fillId="0" borderId="8" xfId="5" applyNumberFormat="1" applyFont="1" applyFill="1" applyBorder="1" applyAlignment="1">
      <alignment vertical="top"/>
    </xf>
    <xf numFmtId="165" fontId="2" fillId="0" borderId="29" xfId="0" applyNumberFormat="1" applyFont="1" applyBorder="1" applyAlignment="1">
      <alignment horizontal="left"/>
    </xf>
    <xf numFmtId="165" fontId="13" fillId="0" borderId="21" xfId="0" applyNumberFormat="1" applyFont="1" applyBorder="1" applyAlignment="1">
      <alignment horizontal="center"/>
    </xf>
    <xf numFmtId="165" fontId="2" fillId="0" borderId="21" xfId="0" applyNumberFormat="1" applyFont="1" applyBorder="1" applyAlignment="1">
      <alignment horizontal="center"/>
    </xf>
    <xf numFmtId="165" fontId="2" fillId="0" borderId="5" xfId="0" applyNumberFormat="1" applyFont="1" applyBorder="1"/>
    <xf numFmtId="172" fontId="13" fillId="0" borderId="71" xfId="5" applyNumberFormat="1" applyFont="1" applyFill="1" applyBorder="1" applyAlignment="1">
      <alignment vertical="center"/>
    </xf>
    <xf numFmtId="165" fontId="4" fillId="0" borderId="43" xfId="0" applyNumberFormat="1" applyFont="1" applyBorder="1" applyAlignment="1">
      <alignment horizontal="left" vertical="center"/>
    </xf>
    <xf numFmtId="165" fontId="5" fillId="0" borderId="7" xfId="0" applyNumberFormat="1" applyFont="1" applyBorder="1" applyAlignment="1">
      <alignment horizontal="center" vertical="center"/>
    </xf>
    <xf numFmtId="165" fontId="13" fillId="0" borderId="7" xfId="0" applyNumberFormat="1" applyFont="1" applyBorder="1"/>
    <xf numFmtId="165" fontId="2" fillId="0" borderId="7" xfId="0" applyNumberFormat="1" applyFont="1" applyBorder="1"/>
    <xf numFmtId="169" fontId="6" fillId="9" borderId="8" xfId="0" applyNumberFormat="1" applyFont="1" applyFill="1" applyBorder="1" applyAlignment="1">
      <alignment horizontal="right" vertical="center"/>
    </xf>
    <xf numFmtId="169" fontId="6" fillId="4" borderId="9" xfId="0" applyNumberFormat="1" applyFont="1" applyFill="1" applyBorder="1" applyAlignment="1">
      <alignment horizontal="right" vertical="center"/>
    </xf>
    <xf numFmtId="169" fontId="6" fillId="4" borderId="43" xfId="0" applyNumberFormat="1" applyFont="1" applyFill="1" applyBorder="1" applyAlignment="1">
      <alignment horizontal="right" vertical="center"/>
    </xf>
    <xf numFmtId="169" fontId="6" fillId="9" borderId="26" xfId="0" applyNumberFormat="1" applyFont="1" applyFill="1" applyBorder="1" applyAlignment="1">
      <alignment horizontal="right" vertical="center"/>
    </xf>
    <xf numFmtId="169" fontId="6" fillId="9" borderId="25" xfId="0" applyNumberFormat="1" applyFont="1" applyFill="1" applyBorder="1" applyAlignment="1">
      <alignment horizontal="right" vertical="center"/>
    </xf>
    <xf numFmtId="169" fontId="6" fillId="9" borderId="30" xfId="0" applyNumberFormat="1" applyFont="1" applyFill="1" applyBorder="1" applyAlignment="1">
      <alignment horizontal="right" vertical="center"/>
    </xf>
    <xf numFmtId="169" fontId="6" fillId="9" borderId="10" xfId="0" applyNumberFormat="1" applyFont="1" applyFill="1" applyBorder="1" applyAlignment="1">
      <alignment horizontal="right" vertical="center"/>
    </xf>
    <xf numFmtId="169" fontId="6" fillId="9" borderId="35" xfId="0" applyNumberFormat="1" applyFont="1" applyFill="1" applyBorder="1" applyAlignment="1">
      <alignment horizontal="right" vertical="center"/>
    </xf>
    <xf numFmtId="169" fontId="6" fillId="4" borderId="34" xfId="0" applyNumberFormat="1" applyFont="1" applyFill="1" applyBorder="1" applyAlignment="1">
      <alignment horizontal="right" vertical="center"/>
    </xf>
    <xf numFmtId="169" fontId="6" fillId="4" borderId="3" xfId="0" applyNumberFormat="1" applyFont="1" applyFill="1" applyBorder="1" applyAlignment="1">
      <alignment horizontal="right" vertical="center"/>
    </xf>
    <xf numFmtId="169" fontId="6" fillId="4" borderId="3" xfId="0" applyNumberFormat="1" applyFont="1" applyFill="1" applyBorder="1" applyAlignment="1">
      <alignment vertical="center"/>
    </xf>
    <xf numFmtId="169" fontId="6" fillId="4" borderId="41" xfId="0" applyNumberFormat="1" applyFont="1" applyFill="1" applyBorder="1" applyAlignment="1">
      <alignment horizontal="right" vertical="center"/>
    </xf>
    <xf numFmtId="169" fontId="6" fillId="9" borderId="11" xfId="0" applyNumberFormat="1" applyFont="1" applyFill="1" applyBorder="1" applyAlignment="1">
      <alignment horizontal="right" vertical="center"/>
    </xf>
    <xf numFmtId="169" fontId="6" fillId="9" borderId="43" xfId="0" applyNumberFormat="1" applyFont="1" applyFill="1" applyBorder="1" applyAlignment="1">
      <alignment horizontal="right" vertical="center"/>
    </xf>
    <xf numFmtId="169" fontId="6" fillId="9" borderId="9" xfId="0" applyNumberFormat="1" applyFont="1" applyFill="1" applyBorder="1" applyAlignment="1">
      <alignment horizontal="right" vertical="center"/>
    </xf>
    <xf numFmtId="169" fontId="6" fillId="9" borderId="1" xfId="0" applyNumberFormat="1" applyFont="1" applyFill="1" applyBorder="1" applyAlignment="1">
      <alignment horizontal="right" vertical="center"/>
    </xf>
    <xf numFmtId="169" fontId="6" fillId="9" borderId="44" xfId="0" applyNumberFormat="1" applyFont="1" applyFill="1" applyBorder="1" applyAlignment="1">
      <alignment horizontal="right" vertical="center"/>
    </xf>
    <xf numFmtId="169" fontId="6" fillId="9" borderId="23" xfId="0" applyNumberFormat="1" applyFont="1" applyFill="1" applyBorder="1" applyAlignment="1">
      <alignment horizontal="right" vertical="center"/>
    </xf>
    <xf numFmtId="169" fontId="6" fillId="9" borderId="6" xfId="0" applyNumberFormat="1" applyFont="1" applyFill="1" applyBorder="1" applyAlignment="1">
      <alignment horizontal="right" vertical="center"/>
    </xf>
    <xf numFmtId="169" fontId="6" fillId="4" borderId="11" xfId="0" applyNumberFormat="1" applyFont="1" applyFill="1" applyBorder="1" applyAlignment="1">
      <alignment horizontal="right" vertical="center"/>
    </xf>
    <xf numFmtId="169" fontId="6" fillId="4" borderId="8" xfId="0" applyNumberFormat="1" applyFont="1" applyFill="1" applyBorder="1" applyAlignment="1">
      <alignment horizontal="right" vertical="center"/>
    </xf>
    <xf numFmtId="169" fontId="6" fillId="4" borderId="1" xfId="0" applyNumberFormat="1" applyFont="1" applyFill="1" applyBorder="1" applyAlignment="1">
      <alignment horizontal="right" vertical="center"/>
    </xf>
    <xf numFmtId="169" fontId="6" fillId="4" borderId="44" xfId="0" applyNumberFormat="1" applyFont="1" applyFill="1" applyBorder="1" applyAlignment="1">
      <alignment horizontal="right" vertical="center"/>
    </xf>
    <xf numFmtId="165" fontId="3" fillId="0" borderId="9" xfId="0" applyNumberFormat="1" applyFont="1" applyFill="1" applyBorder="1" applyAlignment="1">
      <alignment horizontal="right" vertical="center"/>
    </xf>
    <xf numFmtId="165" fontId="3" fillId="0" borderId="43" xfId="0" applyNumberFormat="1" applyFont="1" applyFill="1" applyBorder="1" applyAlignment="1">
      <alignment horizontal="right" vertical="center"/>
    </xf>
    <xf numFmtId="165" fontId="18" fillId="0" borderId="9" xfId="0" applyNumberFormat="1" applyFont="1" applyFill="1" applyBorder="1" applyAlignment="1">
      <alignment horizontal="right" vertical="center"/>
    </xf>
    <xf numFmtId="165" fontId="3" fillId="0" borderId="7" xfId="0" applyNumberFormat="1" applyFont="1" applyFill="1" applyBorder="1" applyAlignment="1">
      <alignment horizontal="right" vertical="center"/>
    </xf>
    <xf numFmtId="165" fontId="3" fillId="0" borderId="10" xfId="0" applyNumberFormat="1" applyFont="1" applyFill="1" applyBorder="1" applyAlignment="1">
      <alignment horizontal="right" vertical="center"/>
    </xf>
    <xf numFmtId="3" fontId="3" fillId="0" borderId="43" xfId="0" applyNumberFormat="1" applyFont="1" applyFill="1" applyBorder="1" applyAlignment="1">
      <alignment horizontal="right" vertical="center"/>
    </xf>
    <xf numFmtId="165" fontId="9" fillId="0" borderId="28" xfId="0" applyNumberFormat="1" applyFont="1" applyBorder="1" applyAlignment="1">
      <alignment horizontal="center" vertical="center" wrapText="1"/>
    </xf>
    <xf numFmtId="165" fontId="9" fillId="0" borderId="27" xfId="0" applyNumberFormat="1" applyFont="1" applyBorder="1" applyAlignment="1">
      <alignment horizontal="center" vertical="center" wrapText="1"/>
    </xf>
    <xf numFmtId="165" fontId="9" fillId="0" borderId="33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" fontId="7" fillId="0" borderId="12" xfId="0" quotePrefix="1" applyNumberFormat="1" applyFont="1" applyBorder="1" applyAlignment="1">
      <alignment horizontal="center" vertical="center"/>
    </xf>
    <xf numFmtId="1" fontId="7" fillId="0" borderId="24" xfId="0" quotePrefix="1" applyNumberFormat="1" applyFont="1" applyBorder="1" applyAlignment="1">
      <alignment horizontal="center" vertical="center"/>
    </xf>
    <xf numFmtId="1" fontId="7" fillId="0" borderId="16" xfId="0" quotePrefix="1" applyNumberFormat="1" applyFont="1" applyBorder="1" applyAlignment="1">
      <alignment horizontal="center" vertical="center"/>
    </xf>
    <xf numFmtId="165" fontId="7" fillId="7" borderId="20" xfId="0" applyNumberFormat="1" applyFont="1" applyFill="1" applyBorder="1" applyAlignment="1">
      <alignment horizontal="center" vertical="center"/>
    </xf>
    <xf numFmtId="165" fontId="7" fillId="7" borderId="18" xfId="0" applyNumberFormat="1" applyFont="1" applyFill="1" applyBorder="1" applyAlignment="1">
      <alignment horizontal="center" vertical="center"/>
    </xf>
    <xf numFmtId="165" fontId="7" fillId="7" borderId="24" xfId="0" applyNumberFormat="1" applyFont="1" applyFill="1" applyBorder="1" applyAlignment="1">
      <alignment horizontal="center" vertical="center"/>
    </xf>
    <xf numFmtId="165" fontId="7" fillId="7" borderId="16" xfId="0" applyNumberFormat="1" applyFont="1" applyFill="1" applyBorder="1" applyAlignment="1">
      <alignment horizontal="center" vertical="center"/>
    </xf>
    <xf numFmtId="165" fontId="8" fillId="0" borderId="38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7" fillId="0" borderId="20" xfId="0" applyNumberFormat="1" applyFont="1" applyBorder="1" applyAlignment="1">
      <alignment horizontal="center" vertical="center"/>
    </xf>
    <xf numFmtId="165" fontId="7" fillId="0" borderId="18" xfId="0" applyNumberFormat="1" applyFont="1" applyBorder="1" applyAlignment="1">
      <alignment horizontal="center" vertical="center"/>
    </xf>
    <xf numFmtId="165" fontId="7" fillId="0" borderId="38" xfId="0" applyNumberFormat="1" applyFont="1" applyBorder="1" applyAlignment="1">
      <alignment horizontal="center" vertical="center"/>
    </xf>
    <xf numFmtId="165" fontId="7" fillId="0" borderId="42" xfId="0" applyNumberFormat="1" applyFont="1" applyBorder="1" applyAlignment="1">
      <alignment horizontal="center" vertical="center"/>
    </xf>
    <xf numFmtId="165" fontId="7" fillId="0" borderId="44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17" fillId="0" borderId="20" xfId="0" applyNumberFormat="1" applyFont="1" applyBorder="1" applyAlignment="1">
      <alignment horizontal="center" vertical="center" wrapText="1"/>
    </xf>
    <xf numFmtId="165" fontId="17" fillId="0" borderId="18" xfId="0" applyNumberFormat="1" applyFont="1" applyBorder="1" applyAlignment="1">
      <alignment horizontal="center" vertical="center" wrapText="1"/>
    </xf>
    <xf numFmtId="165" fontId="17" fillId="0" borderId="42" xfId="0" applyNumberFormat="1" applyFont="1" applyBorder="1" applyAlignment="1">
      <alignment horizontal="center" vertical="center" wrapText="1"/>
    </xf>
    <xf numFmtId="165" fontId="17" fillId="0" borderId="44" xfId="0" applyNumberFormat="1" applyFont="1" applyBorder="1" applyAlignment="1">
      <alignment horizontal="center" vertical="center" wrapText="1"/>
    </xf>
    <xf numFmtId="49" fontId="7" fillId="0" borderId="28" xfId="0" applyNumberFormat="1" applyFont="1" applyBorder="1" applyAlignment="1">
      <alignment horizontal="center" vertical="center"/>
    </xf>
    <xf numFmtId="49" fontId="7" fillId="0" borderId="27" xfId="0" applyNumberFormat="1" applyFont="1" applyBorder="1" applyAlignment="1">
      <alignment horizontal="center" vertical="center"/>
    </xf>
    <xf numFmtId="49" fontId="7" fillId="0" borderId="50" xfId="0" applyNumberFormat="1" applyFont="1" applyBorder="1" applyAlignment="1">
      <alignment horizontal="center" vertical="center"/>
    </xf>
    <xf numFmtId="165" fontId="7" fillId="7" borderId="11" xfId="0" applyNumberFormat="1" applyFont="1" applyFill="1" applyBorder="1" applyAlignment="1">
      <alignment horizontal="center" vertical="center" wrapText="1"/>
    </xf>
    <xf numFmtId="165" fontId="7" fillId="7" borderId="9" xfId="0" applyNumberFormat="1" applyFont="1" applyFill="1" applyBorder="1" applyAlignment="1">
      <alignment horizontal="center" vertical="center" wrapText="1"/>
    </xf>
    <xf numFmtId="165" fontId="7" fillId="7" borderId="8" xfId="0" applyNumberFormat="1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/>
    </xf>
    <xf numFmtId="165" fontId="26" fillId="5" borderId="54" xfId="0" applyNumberFormat="1" applyFont="1" applyFill="1" applyBorder="1" applyAlignment="1">
      <alignment horizontal="center" vertical="center"/>
    </xf>
    <xf numFmtId="165" fontId="26" fillId="5" borderId="55" xfId="0" applyNumberFormat="1" applyFont="1" applyFill="1" applyBorder="1" applyAlignment="1">
      <alignment horizontal="center" vertical="center"/>
    </xf>
    <xf numFmtId="165" fontId="26" fillId="5" borderId="71" xfId="0" applyNumberFormat="1" applyFont="1" applyFill="1" applyBorder="1" applyAlignment="1">
      <alignment horizontal="center" vertical="center"/>
    </xf>
    <xf numFmtId="165" fontId="26" fillId="0" borderId="26" xfId="0" applyNumberFormat="1" applyFont="1" applyBorder="1" applyAlignment="1">
      <alignment horizontal="center" vertical="center"/>
    </xf>
    <xf numFmtId="165" fontId="26" fillId="0" borderId="25" xfId="0" applyNumberFormat="1" applyFont="1" applyBorder="1" applyAlignment="1">
      <alignment horizontal="center" vertical="center"/>
    </xf>
    <xf numFmtId="165" fontId="26" fillId="0" borderId="30" xfId="0" applyNumberFormat="1" applyFont="1" applyBorder="1" applyAlignment="1">
      <alignment horizontal="center" vertical="center"/>
    </xf>
    <xf numFmtId="165" fontId="7" fillId="0" borderId="28" xfId="0" applyNumberFormat="1" applyFont="1" applyBorder="1" applyAlignment="1">
      <alignment horizontal="center" vertical="center"/>
    </xf>
    <xf numFmtId="165" fontId="7" fillId="0" borderId="27" xfId="0" applyNumberFormat="1" applyFont="1" applyBorder="1" applyAlignment="1">
      <alignment horizontal="center" vertical="center"/>
    </xf>
    <xf numFmtId="165" fontId="7" fillId="0" borderId="33" xfId="0" applyNumberFormat="1" applyFont="1" applyBorder="1" applyAlignment="1">
      <alignment horizontal="center" vertical="center"/>
    </xf>
    <xf numFmtId="165" fontId="7" fillId="5" borderId="28" xfId="0" applyNumberFormat="1" applyFont="1" applyFill="1" applyBorder="1" applyAlignment="1">
      <alignment horizontal="center" vertical="center"/>
    </xf>
    <xf numFmtId="165" fontId="7" fillId="5" borderId="27" xfId="0" applyNumberFormat="1" applyFont="1" applyFill="1" applyBorder="1" applyAlignment="1">
      <alignment horizontal="center" vertical="center"/>
    </xf>
    <xf numFmtId="165" fontId="7" fillId="5" borderId="33" xfId="0" applyNumberFormat="1" applyFont="1" applyFill="1" applyBorder="1" applyAlignment="1">
      <alignment horizontal="center" vertical="center"/>
    </xf>
    <xf numFmtId="165" fontId="7" fillId="7" borderId="20" xfId="0" applyNumberFormat="1" applyFont="1" applyFill="1" applyBorder="1" applyAlignment="1">
      <alignment horizontal="center" vertical="center" wrapText="1"/>
    </xf>
    <xf numFmtId="165" fontId="7" fillId="7" borderId="18" xfId="0" applyNumberFormat="1" applyFont="1" applyFill="1" applyBorder="1" applyAlignment="1">
      <alignment horizontal="center" vertical="center" wrapText="1"/>
    </xf>
    <xf numFmtId="165" fontId="7" fillId="7" borderId="38" xfId="0" applyNumberFormat="1" applyFont="1" applyFill="1" applyBorder="1" applyAlignment="1">
      <alignment horizontal="center" vertical="center" wrapText="1"/>
    </xf>
    <xf numFmtId="165" fontId="7" fillId="7" borderId="39" xfId="0" applyNumberFormat="1" applyFont="1" applyFill="1" applyBorder="1" applyAlignment="1">
      <alignment horizontal="center" vertical="center" wrapText="1"/>
    </xf>
    <xf numFmtId="165" fontId="7" fillId="7" borderId="37" xfId="0" applyNumberFormat="1" applyFont="1" applyFill="1" applyBorder="1" applyAlignment="1">
      <alignment horizontal="center" vertical="center" wrapText="1"/>
    </xf>
    <xf numFmtId="165" fontId="7" fillId="7" borderId="63" xfId="0" applyNumberFormat="1" applyFont="1" applyFill="1" applyBorder="1" applyAlignment="1">
      <alignment horizontal="center" vertical="center" wrapText="1"/>
    </xf>
    <xf numFmtId="165" fontId="26" fillId="5" borderId="67" xfId="0" applyNumberFormat="1" applyFont="1" applyFill="1" applyBorder="1" applyAlignment="1">
      <alignment horizontal="center" vertical="center" wrapText="1"/>
    </xf>
    <xf numFmtId="165" fontId="26" fillId="5" borderId="51" xfId="0" applyNumberFormat="1" applyFont="1" applyFill="1" applyBorder="1" applyAlignment="1">
      <alignment horizontal="center" vertical="center" wrapText="1"/>
    </xf>
    <xf numFmtId="165" fontId="26" fillId="5" borderId="64" xfId="0" applyNumberFormat="1" applyFont="1" applyFill="1" applyBorder="1" applyAlignment="1">
      <alignment horizontal="center" vertical="center" wrapText="1"/>
    </xf>
    <xf numFmtId="1" fontId="7" fillId="0" borderId="20" xfId="0" quotePrefix="1" applyNumberFormat="1" applyFont="1" applyBorder="1" applyAlignment="1">
      <alignment horizontal="center" vertical="center" wrapText="1"/>
    </xf>
    <xf numFmtId="1" fontId="7" fillId="0" borderId="18" xfId="0" quotePrefix="1" applyNumberFormat="1" applyFont="1" applyBorder="1" applyAlignment="1">
      <alignment horizontal="center" vertical="center" wrapText="1"/>
    </xf>
    <xf numFmtId="1" fontId="7" fillId="0" borderId="38" xfId="0" quotePrefix="1" applyNumberFormat="1" applyFont="1" applyBorder="1" applyAlignment="1">
      <alignment horizontal="center" vertical="center" wrapText="1"/>
    </xf>
    <xf numFmtId="165" fontId="27" fillId="5" borderId="67" xfId="0" applyNumberFormat="1" applyFont="1" applyFill="1" applyBorder="1" applyAlignment="1">
      <alignment horizontal="center" vertical="center" wrapText="1"/>
    </xf>
    <xf numFmtId="165" fontId="27" fillId="5" borderId="51" xfId="0" applyNumberFormat="1" applyFont="1" applyFill="1" applyBorder="1" applyAlignment="1">
      <alignment horizontal="center" vertical="center" wrapText="1"/>
    </xf>
    <xf numFmtId="165" fontId="27" fillId="5" borderId="64" xfId="0" applyNumberFormat="1" applyFont="1" applyFill="1" applyBorder="1" applyAlignment="1">
      <alignment horizontal="center" vertical="center" wrapText="1"/>
    </xf>
    <xf numFmtId="165" fontId="7" fillId="7" borderId="44" xfId="0" applyNumberFormat="1" applyFont="1" applyFill="1" applyBorder="1" applyAlignment="1">
      <alignment horizontal="center" vertical="center" wrapText="1"/>
    </xf>
    <xf numFmtId="165" fontId="7" fillId="0" borderId="28" xfId="0" applyNumberFormat="1" applyFont="1" applyBorder="1" applyAlignment="1">
      <alignment horizontal="center" vertical="center" wrapText="1"/>
    </xf>
    <xf numFmtId="165" fontId="7" fillId="0" borderId="27" xfId="0" applyNumberFormat="1" applyFont="1" applyBorder="1" applyAlignment="1">
      <alignment horizontal="center" vertical="center" wrapText="1"/>
    </xf>
    <xf numFmtId="165" fontId="7" fillId="0" borderId="33" xfId="0" applyNumberFormat="1" applyFont="1" applyBorder="1" applyAlignment="1">
      <alignment horizontal="center" vertical="center" wrapText="1"/>
    </xf>
    <xf numFmtId="165" fontId="26" fillId="0" borderId="26" xfId="0" applyNumberFormat="1" applyFont="1" applyBorder="1" applyAlignment="1">
      <alignment horizontal="center" vertical="center" wrapText="1"/>
    </xf>
    <xf numFmtId="165" fontId="26" fillId="0" borderId="25" xfId="0" applyNumberFormat="1" applyFont="1" applyBorder="1" applyAlignment="1">
      <alignment horizontal="center" vertical="center" wrapText="1"/>
    </xf>
    <xf numFmtId="165" fontId="26" fillId="0" borderId="30" xfId="0" applyNumberFormat="1" applyFont="1" applyBorder="1" applyAlignment="1">
      <alignment horizontal="center" vertical="center" wrapText="1"/>
    </xf>
    <xf numFmtId="49" fontId="7" fillId="0" borderId="57" xfId="0" applyNumberFormat="1" applyFont="1" applyBorder="1" applyAlignment="1">
      <alignment horizontal="center" vertical="center"/>
    </xf>
    <xf numFmtId="49" fontId="7" fillId="0" borderId="58" xfId="0" applyNumberFormat="1" applyFont="1" applyBorder="1" applyAlignment="1">
      <alignment horizontal="center" vertical="center"/>
    </xf>
    <xf numFmtId="49" fontId="7" fillId="0" borderId="59" xfId="0" applyNumberFormat="1" applyFont="1" applyBorder="1" applyAlignment="1">
      <alignment horizontal="center" vertical="center"/>
    </xf>
    <xf numFmtId="49" fontId="7" fillId="0" borderId="24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49" fontId="7" fillId="0" borderId="20" xfId="0" quotePrefix="1" applyNumberFormat="1" applyFont="1" applyBorder="1" applyAlignment="1">
      <alignment horizontal="center" vertical="center"/>
    </xf>
    <xf numFmtId="49" fontId="7" fillId="0" borderId="18" xfId="0" quotePrefix="1" applyNumberFormat="1" applyFont="1" applyBorder="1" applyAlignment="1">
      <alignment horizontal="center" vertical="center"/>
    </xf>
    <xf numFmtId="49" fontId="7" fillId="0" borderId="38" xfId="0" quotePrefix="1" applyNumberFormat="1" applyFont="1" applyBorder="1" applyAlignment="1">
      <alignment horizontal="center" vertical="center"/>
    </xf>
    <xf numFmtId="49" fontId="7" fillId="0" borderId="18" xfId="0" quotePrefix="1" applyNumberFormat="1" applyFont="1" applyBorder="1" applyAlignment="1">
      <alignment horizontal="center" vertical="center" wrapText="1"/>
    </xf>
    <xf numFmtId="49" fontId="7" fillId="0" borderId="57" xfId="0" quotePrefix="1" applyNumberFormat="1" applyFont="1" applyBorder="1" applyAlignment="1">
      <alignment horizontal="center" vertical="center"/>
    </xf>
    <xf numFmtId="49" fontId="7" fillId="0" borderId="58" xfId="0" quotePrefix="1" applyNumberFormat="1" applyFont="1" applyBorder="1" applyAlignment="1">
      <alignment horizontal="center" vertical="center"/>
    </xf>
    <xf numFmtId="49" fontId="7" fillId="0" borderId="59" xfId="0" quotePrefix="1" applyNumberFormat="1" applyFont="1" applyBorder="1" applyAlignment="1">
      <alignment horizontal="center" vertical="center"/>
    </xf>
    <xf numFmtId="165" fontId="21" fillId="3" borderId="20" xfId="0" applyNumberFormat="1" applyFont="1" applyFill="1" applyBorder="1" applyAlignment="1">
      <alignment horizontal="center"/>
    </xf>
    <xf numFmtId="165" fontId="21" fillId="3" borderId="18" xfId="0" applyNumberFormat="1" applyFont="1" applyFill="1" applyBorder="1" applyAlignment="1">
      <alignment horizontal="center"/>
    </xf>
    <xf numFmtId="165" fontId="21" fillId="3" borderId="38" xfId="0" applyNumberFormat="1" applyFont="1" applyFill="1" applyBorder="1" applyAlignment="1">
      <alignment horizontal="center"/>
    </xf>
    <xf numFmtId="165" fontId="27" fillId="0" borderId="26" xfId="0" applyNumberFormat="1" applyFont="1" applyBorder="1" applyAlignment="1">
      <alignment horizontal="center" vertical="center" wrapText="1"/>
    </xf>
    <xf numFmtId="165" fontId="27" fillId="0" borderId="25" xfId="0" applyNumberFormat="1" applyFont="1" applyBorder="1" applyAlignment="1">
      <alignment horizontal="center" vertical="center" wrapText="1"/>
    </xf>
    <xf numFmtId="165" fontId="27" fillId="0" borderId="30" xfId="0" applyNumberFormat="1" applyFont="1" applyBorder="1" applyAlignment="1">
      <alignment horizontal="center" vertical="center" wrapText="1"/>
    </xf>
    <xf numFmtId="165" fontId="7" fillId="5" borderId="15" xfId="0" applyNumberFormat="1" applyFont="1" applyFill="1" applyBorder="1" applyAlignment="1">
      <alignment horizontal="center" vertical="center"/>
    </xf>
    <xf numFmtId="165" fontId="7" fillId="5" borderId="48" xfId="0" applyNumberFormat="1" applyFont="1" applyFill="1" applyBorder="1" applyAlignment="1">
      <alignment horizontal="center" vertical="center"/>
    </xf>
    <xf numFmtId="165" fontId="7" fillId="5" borderId="69" xfId="0" applyNumberFormat="1" applyFont="1" applyFill="1" applyBorder="1" applyAlignment="1">
      <alignment horizontal="center" vertical="center"/>
    </xf>
    <xf numFmtId="165" fontId="26" fillId="5" borderId="11" xfId="0" applyNumberFormat="1" applyFont="1" applyFill="1" applyBorder="1" applyAlignment="1">
      <alignment horizontal="center" vertical="center"/>
    </xf>
    <xf numFmtId="165" fontId="26" fillId="5" borderId="9" xfId="0" applyNumberFormat="1" applyFont="1" applyFill="1" applyBorder="1" applyAlignment="1">
      <alignment horizontal="center" vertical="center"/>
    </xf>
    <xf numFmtId="165" fontId="26" fillId="5" borderId="8" xfId="0" applyNumberFormat="1" applyFont="1" applyFill="1" applyBorder="1" applyAlignment="1">
      <alignment horizontal="center" vertical="center"/>
    </xf>
    <xf numFmtId="165" fontId="29" fillId="0" borderId="0" xfId="0" applyNumberFormat="1" applyFont="1" applyAlignment="1">
      <alignment horizontal="left"/>
    </xf>
    <xf numFmtId="49" fontId="7" fillId="0" borderId="57" xfId="0" quotePrefix="1" applyNumberFormat="1" applyFont="1" applyBorder="1" applyAlignment="1">
      <alignment horizontal="center" vertical="center" wrapText="1"/>
    </xf>
    <xf numFmtId="49" fontId="7" fillId="0" borderId="58" xfId="0" quotePrefix="1" applyNumberFormat="1" applyFont="1" applyBorder="1" applyAlignment="1">
      <alignment horizontal="center" vertical="center" wrapText="1"/>
    </xf>
    <xf numFmtId="49" fontId="7" fillId="0" borderId="59" xfId="0" quotePrefix="1" applyNumberFormat="1" applyFont="1" applyBorder="1" applyAlignment="1">
      <alignment horizontal="center" vertical="center" wrapText="1"/>
    </xf>
    <xf numFmtId="165" fontId="26" fillId="0" borderId="11" xfId="0" applyNumberFormat="1" applyFont="1" applyBorder="1" applyAlignment="1">
      <alignment horizontal="center" vertical="center" wrapText="1"/>
    </xf>
    <xf numFmtId="165" fontId="26" fillId="0" borderId="9" xfId="0" applyNumberFormat="1" applyFont="1" applyBorder="1" applyAlignment="1">
      <alignment horizontal="center" vertical="center" wrapText="1"/>
    </xf>
    <xf numFmtId="165" fontId="26" fillId="0" borderId="8" xfId="0" applyNumberFormat="1" applyFont="1" applyBorder="1" applyAlignment="1">
      <alignment horizontal="center" vertical="center" wrapText="1"/>
    </xf>
    <xf numFmtId="1" fontId="7" fillId="0" borderId="18" xfId="0" applyNumberFormat="1" applyFont="1" applyBorder="1" applyAlignment="1">
      <alignment horizontal="center" vertical="center"/>
    </xf>
    <xf numFmtId="1" fontId="7" fillId="0" borderId="38" xfId="0" applyNumberFormat="1" applyFont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1" fontId="7" fillId="0" borderId="24" xfId="0" applyNumberFormat="1" applyFont="1" applyBorder="1" applyAlignment="1">
      <alignment horizontal="center" vertical="center"/>
    </xf>
    <xf numFmtId="165" fontId="26" fillId="5" borderId="67" xfId="0" applyNumberFormat="1" applyFont="1" applyFill="1" applyBorder="1" applyAlignment="1">
      <alignment horizontal="center" vertical="center"/>
    </xf>
    <xf numFmtId="165" fontId="26" fillId="5" borderId="51" xfId="0" applyNumberFormat="1" applyFont="1" applyFill="1" applyBorder="1" applyAlignment="1">
      <alignment horizontal="center" vertical="center"/>
    </xf>
    <xf numFmtId="165" fontId="26" fillId="5" borderId="64" xfId="0" applyNumberFormat="1" applyFont="1" applyFill="1" applyBorder="1" applyAlignment="1">
      <alignment horizontal="center" vertical="center"/>
    </xf>
    <xf numFmtId="165" fontId="7" fillId="7" borderId="12" xfId="0" applyNumberFormat="1" applyFont="1" applyFill="1" applyBorder="1" applyAlignment="1">
      <alignment horizontal="center" vertical="center"/>
    </xf>
    <xf numFmtId="165" fontId="7" fillId="7" borderId="24" xfId="0" applyNumberFormat="1" applyFont="1" applyFill="1" applyBorder="1" applyAlignment="1">
      <alignment horizontal="center" vertical="center" wrapText="1"/>
    </xf>
    <xf numFmtId="165" fontId="7" fillId="7" borderId="16" xfId="0" applyNumberFormat="1" applyFont="1" applyFill="1" applyBorder="1" applyAlignment="1">
      <alignment horizontal="center" vertical="center" wrapText="1"/>
    </xf>
    <xf numFmtId="165" fontId="7" fillId="7" borderId="12" xfId="0" applyNumberFormat="1" applyFont="1" applyFill="1" applyBorder="1" applyAlignment="1">
      <alignment horizontal="center" vertical="center" wrapText="1"/>
    </xf>
    <xf numFmtId="1" fontId="7" fillId="0" borderId="16" xfId="0" applyNumberFormat="1" applyFont="1" applyBorder="1" applyAlignment="1">
      <alignment horizontal="center" vertical="center"/>
    </xf>
    <xf numFmtId="165" fontId="7" fillId="7" borderId="43" xfId="0" applyNumberFormat="1" applyFont="1" applyFill="1" applyBorder="1" applyAlignment="1">
      <alignment horizontal="center" vertical="center" wrapText="1"/>
    </xf>
    <xf numFmtId="165" fontId="26" fillId="5" borderId="60" xfId="0" applyNumberFormat="1" applyFont="1" applyFill="1" applyBorder="1" applyAlignment="1">
      <alignment horizontal="center" vertical="center"/>
    </xf>
  </cellXfs>
  <cellStyles count="6">
    <cellStyle name="Ezres" xfId="2" builtinId="3"/>
    <cellStyle name="Ezres 2" xfId="4"/>
    <cellStyle name="Jegyzet" xfId="5" builtinId="10"/>
    <cellStyle name="Normál" xfId="0" builtinId="0"/>
    <cellStyle name="Normál 2" xfId="3"/>
    <cellStyle name="Százalék" xfId="1" builtinId="5"/>
  </cellStyles>
  <dxfs count="0"/>
  <tableStyles count="0" defaultTableStyle="TableStyleMedium2" defaultPivotStyle="PivotStyleLight16"/>
  <colors>
    <mruColors>
      <color rgb="FFE37B82"/>
      <color rgb="FFF66F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ALOG-~1/LOCALS~1/Temp/2_sz_mellekl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ek_es_utmutato"/>
      <sheetName val="Alapadatok"/>
      <sheetName val="Koltseg_adat"/>
      <sheetName val="Beruh_utem"/>
      <sheetName val="Uzem_karbantart_ktg"/>
      <sheetName val="Bevetel"/>
      <sheetName val="Onero_hitel"/>
      <sheetName val="Penzugyi_elemzes"/>
      <sheetName val="Tanulmany_tabla"/>
      <sheetName val="Belso_arany"/>
      <sheetName val="Kozgazd_hasznok"/>
      <sheetName val="Kozgazd_ktg"/>
      <sheetName val="Kozgazd_elemzes"/>
      <sheetName val="Hat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42">
          <cell r="B142" t="str">
            <v>Nem ÁFA visszaigénylő</v>
          </cell>
        </row>
        <row r="143">
          <cell r="B143" t="str">
            <v>ÁFA visszaigénylő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CJ236"/>
  <sheetViews>
    <sheetView tabSelected="1" topLeftCell="B2" zoomScale="78" zoomScaleNormal="78" zoomScaleSheetLayoutView="80" workbookViewId="0">
      <pane xSplit="1" ySplit="7" topLeftCell="C66" activePane="bottomRight" state="frozen"/>
      <selection activeCell="B2" sqref="B2"/>
      <selection pane="topRight" activeCell="C2" sqref="C2"/>
      <selection pane="bottomLeft" activeCell="B9" sqref="B9"/>
      <selection pane="bottomRight" activeCell="G84" sqref="G84"/>
    </sheetView>
  </sheetViews>
  <sheetFormatPr defaultColWidth="9.140625" defaultRowHeight="15.75" x14ac:dyDescent="0.25"/>
  <cols>
    <col min="1" max="1" width="4" style="1" hidden="1" customWidth="1"/>
    <col min="2" max="2" width="69.85546875" style="1" customWidth="1"/>
    <col min="3" max="3" width="23.5703125" style="1" customWidth="1"/>
    <col min="4" max="4" width="23.42578125" style="1" customWidth="1"/>
    <col min="5" max="5" width="21.140625" style="1" customWidth="1"/>
    <col min="6" max="6" width="22.7109375" style="1" customWidth="1"/>
    <col min="7" max="7" width="21.5703125" style="1" customWidth="1"/>
    <col min="8" max="8" width="22.28515625" style="1" customWidth="1"/>
    <col min="9" max="9" width="24.42578125" style="1" customWidth="1"/>
    <col min="10" max="10" width="24.7109375" style="1" customWidth="1"/>
    <col min="11" max="11" width="23.42578125" style="1" customWidth="1"/>
    <col min="12" max="12" width="22" style="1" customWidth="1"/>
    <col min="13" max="13" width="23.42578125" style="1" customWidth="1"/>
    <col min="14" max="14" width="21.85546875" style="1" customWidth="1"/>
    <col min="15" max="15" width="17.5703125" style="1" customWidth="1"/>
    <col min="16" max="16" width="18.85546875" style="1" customWidth="1"/>
    <col min="17" max="17" width="16" style="1" customWidth="1"/>
    <col min="18" max="18" width="21.85546875" style="1" customWidth="1"/>
    <col min="19" max="19" width="23.5703125" style="1" customWidth="1"/>
    <col min="20" max="20" width="22.42578125" style="1" customWidth="1"/>
    <col min="21" max="21" width="0.140625" style="1" customWidth="1"/>
    <col min="22" max="22" width="23.28515625" style="1" customWidth="1"/>
    <col min="23" max="23" width="23.140625" style="1" customWidth="1"/>
    <col min="24" max="24" width="20.85546875" style="1" customWidth="1"/>
    <col min="25" max="25" width="23.28515625" style="1" customWidth="1"/>
    <col min="26" max="26" width="25" style="1" customWidth="1"/>
    <col min="27" max="27" width="22.5703125" style="1" customWidth="1"/>
    <col min="28" max="28" width="25" style="1" hidden="1" customWidth="1"/>
    <col min="29" max="29" width="25.42578125" style="1" customWidth="1"/>
    <col min="30" max="30" width="23.7109375" style="1" customWidth="1"/>
    <col min="31" max="31" width="22.5703125" style="1" customWidth="1"/>
    <col min="32" max="32" width="24.28515625" style="1" customWidth="1"/>
    <col min="33" max="33" width="24.140625" style="1" customWidth="1"/>
    <col min="34" max="34" width="23.140625" style="1" customWidth="1"/>
    <col min="35" max="35" width="29.28515625" style="1" customWidth="1"/>
    <col min="36" max="36" width="25.140625" style="1" customWidth="1"/>
    <col min="37" max="37" width="23.7109375" style="1" customWidth="1"/>
    <col min="38" max="38" width="23.5703125" style="1" customWidth="1"/>
    <col min="39" max="39" width="24.42578125" style="1" customWidth="1"/>
    <col min="40" max="40" width="23.140625" style="1" customWidth="1"/>
    <col min="41" max="41" width="24.42578125" style="1" customWidth="1"/>
    <col min="42" max="42" width="26.140625" style="1" customWidth="1"/>
    <col min="43" max="43" width="25.140625" style="1" customWidth="1"/>
    <col min="44" max="46" width="25.7109375" style="1" customWidth="1"/>
    <col min="47" max="48" width="25.7109375" style="1" hidden="1" customWidth="1"/>
    <col min="49" max="50" width="25.7109375" style="1" customWidth="1"/>
    <col min="51" max="51" width="20.28515625" style="1" customWidth="1"/>
    <col min="52" max="52" width="52.5703125" style="1" hidden="1" customWidth="1"/>
    <col min="53" max="58" width="24" style="1" customWidth="1"/>
    <col min="59" max="59" width="27.5703125" style="1" customWidth="1"/>
    <col min="60" max="60" width="30.5703125" style="1" customWidth="1"/>
    <col min="61" max="61" width="25" style="1" customWidth="1"/>
    <col min="62" max="64" width="25.85546875" style="2" customWidth="1"/>
    <col min="65" max="67" width="25.85546875" style="1" customWidth="1"/>
    <col min="68" max="68" width="29.42578125" style="1" customWidth="1"/>
    <col min="69" max="69" width="7.85546875" style="1" customWidth="1"/>
    <col min="70" max="70" width="29.7109375" style="1" customWidth="1"/>
    <col min="71" max="71" width="7.42578125" style="1" customWidth="1"/>
    <col min="72" max="72" width="21.42578125" style="1" bestFit="1" customWidth="1"/>
    <col min="73" max="73" width="23.42578125" style="1" bestFit="1" customWidth="1"/>
    <col min="74" max="74" width="21.42578125" style="1" bestFit="1" customWidth="1"/>
    <col min="75" max="75" width="25.42578125" style="1" bestFit="1" customWidth="1"/>
    <col min="76" max="76" width="23.42578125" style="1" bestFit="1" customWidth="1"/>
    <col min="77" max="77" width="25.140625" style="1" customWidth="1"/>
    <col min="78" max="79" width="23.42578125" style="1" bestFit="1" customWidth="1"/>
    <col min="80" max="80" width="25.42578125" style="1" customWidth="1"/>
    <col min="81" max="81" width="24" style="1" customWidth="1"/>
    <col min="82" max="82" width="32.42578125" style="1" customWidth="1"/>
    <col min="83" max="16384" width="9.140625" style="1"/>
  </cols>
  <sheetData>
    <row r="1" spans="1:69" hidden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4"/>
      <c r="BH1" s="4"/>
      <c r="BI1" s="4"/>
      <c r="BJ1" s="3"/>
      <c r="BK1" s="3"/>
      <c r="BL1" s="3"/>
      <c r="BM1" s="3"/>
      <c r="BN1" s="3"/>
      <c r="BO1" s="3"/>
    </row>
    <row r="2" spans="1:69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4"/>
      <c r="BH2" s="4"/>
      <c r="BI2" s="4"/>
      <c r="BJ2" s="3"/>
      <c r="BK2" s="3"/>
      <c r="BL2" s="3"/>
      <c r="BM2" s="3"/>
      <c r="BN2" s="3"/>
      <c r="BO2" s="3"/>
    </row>
    <row r="3" spans="1:69" s="44" customFormat="1" ht="21.75" thickBot="1" x14ac:dyDescent="0.3">
      <c r="A3" s="41"/>
      <c r="B3" s="41" t="s">
        <v>125</v>
      </c>
      <c r="C3" s="42"/>
      <c r="D3" s="42"/>
      <c r="E3" s="42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3"/>
      <c r="W3" s="43"/>
      <c r="X3" s="43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</row>
    <row r="4" spans="1:69" s="47" customFormat="1" ht="38.25" customHeight="1" thickBot="1" x14ac:dyDescent="0.3">
      <c r="A4" s="45"/>
      <c r="B4" s="206" t="s">
        <v>87</v>
      </c>
      <c r="C4" s="439" t="s">
        <v>68</v>
      </c>
      <c r="D4" s="440"/>
      <c r="E4" s="440"/>
      <c r="F4" s="440"/>
      <c r="G4" s="440"/>
      <c r="H4" s="440"/>
      <c r="I4" s="440"/>
      <c r="J4" s="440"/>
      <c r="K4" s="441"/>
      <c r="L4" s="486" t="s">
        <v>61</v>
      </c>
      <c r="M4" s="487"/>
      <c r="N4" s="488"/>
      <c r="O4" s="532">
        <v>105020</v>
      </c>
      <c r="P4" s="533"/>
      <c r="Q4" s="541"/>
      <c r="R4" s="532">
        <v>105020</v>
      </c>
      <c r="S4" s="533"/>
      <c r="T4" s="541"/>
      <c r="U4" s="46"/>
      <c r="V4" s="532">
        <v>105020</v>
      </c>
      <c r="W4" s="533"/>
      <c r="X4" s="533"/>
      <c r="Y4" s="508" t="s">
        <v>74</v>
      </c>
      <c r="Z4" s="509"/>
      <c r="AA4" s="510"/>
      <c r="AB4" s="91">
        <v>82092</v>
      </c>
      <c r="AC4" s="524" t="s">
        <v>105</v>
      </c>
      <c r="AD4" s="525"/>
      <c r="AE4" s="526"/>
      <c r="AF4" s="507" t="s">
        <v>75</v>
      </c>
      <c r="AG4" s="507"/>
      <c r="AH4" s="507"/>
      <c r="AI4" s="505" t="s">
        <v>60</v>
      </c>
      <c r="AJ4" s="505"/>
      <c r="AK4" s="506"/>
      <c r="AL4" s="504" t="s">
        <v>77</v>
      </c>
      <c r="AM4" s="505"/>
      <c r="AN4" s="505"/>
      <c r="AO4" s="499"/>
      <c r="AP4" s="500"/>
      <c r="AQ4" s="501"/>
      <c r="AR4" s="502" t="s">
        <v>59</v>
      </c>
      <c r="AS4" s="502"/>
      <c r="AT4" s="502"/>
      <c r="AU4" s="502"/>
      <c r="AV4" s="502"/>
      <c r="AW4" s="502"/>
      <c r="AX4" s="502"/>
      <c r="AY4" s="503"/>
      <c r="AZ4" s="92">
        <v>86020</v>
      </c>
      <c r="BA4" s="458" t="s">
        <v>75</v>
      </c>
      <c r="BB4" s="459"/>
      <c r="BC4" s="460"/>
      <c r="BD4" s="458" t="s">
        <v>76</v>
      </c>
      <c r="BE4" s="459"/>
      <c r="BF4" s="464"/>
      <c r="BG4" s="530"/>
      <c r="BH4" s="530"/>
      <c r="BI4" s="530"/>
      <c r="BJ4" s="530"/>
      <c r="BK4" s="530"/>
      <c r="BL4" s="530"/>
      <c r="BM4" s="530"/>
      <c r="BN4" s="530"/>
      <c r="BO4" s="531"/>
    </row>
    <row r="5" spans="1:69" ht="28.5" customHeight="1" thickBot="1" x14ac:dyDescent="0.3">
      <c r="A5" s="18"/>
      <c r="B5" s="39"/>
      <c r="C5" s="442" t="s">
        <v>37</v>
      </c>
      <c r="D5" s="443"/>
      <c r="E5" s="443"/>
      <c r="F5" s="443"/>
      <c r="G5" s="443"/>
      <c r="H5" s="443"/>
      <c r="I5" s="444"/>
      <c r="J5" s="444"/>
      <c r="K5" s="445"/>
      <c r="L5" s="477" t="s">
        <v>36</v>
      </c>
      <c r="M5" s="478"/>
      <c r="N5" s="479"/>
      <c r="O5" s="537" t="s">
        <v>35</v>
      </c>
      <c r="P5" s="444"/>
      <c r="Q5" s="444"/>
      <c r="R5" s="444"/>
      <c r="S5" s="444"/>
      <c r="T5" s="444"/>
      <c r="U5" s="444"/>
      <c r="V5" s="444"/>
      <c r="W5" s="444"/>
      <c r="X5" s="444"/>
      <c r="Y5" s="540" t="s">
        <v>34</v>
      </c>
      <c r="Z5" s="538"/>
      <c r="AA5" s="538"/>
      <c r="AB5" s="538"/>
      <c r="AC5" s="538"/>
      <c r="AD5" s="538"/>
      <c r="AE5" s="538"/>
      <c r="AF5" s="538"/>
      <c r="AG5" s="538"/>
      <c r="AH5" s="538"/>
      <c r="AI5" s="538"/>
      <c r="AJ5" s="538"/>
      <c r="AK5" s="538"/>
      <c r="AL5" s="538"/>
      <c r="AM5" s="538"/>
      <c r="AN5" s="538"/>
      <c r="AO5" s="538" t="s">
        <v>34</v>
      </c>
      <c r="AP5" s="538"/>
      <c r="AQ5" s="539"/>
      <c r="AR5" s="478" t="s">
        <v>66</v>
      </c>
      <c r="AS5" s="478"/>
      <c r="AT5" s="478"/>
      <c r="AU5" s="478"/>
      <c r="AV5" s="478"/>
      <c r="AW5" s="478"/>
      <c r="AX5" s="478"/>
      <c r="AY5" s="479"/>
      <c r="AZ5" s="477" t="s">
        <v>33</v>
      </c>
      <c r="BA5" s="461" t="s">
        <v>73</v>
      </c>
      <c r="BB5" s="462"/>
      <c r="BC5" s="542"/>
      <c r="BD5" s="461" t="s">
        <v>58</v>
      </c>
      <c r="BE5" s="462"/>
      <c r="BF5" s="463"/>
      <c r="BG5" s="478" t="s">
        <v>92</v>
      </c>
      <c r="BH5" s="478"/>
      <c r="BI5" s="478"/>
      <c r="BJ5" s="478"/>
      <c r="BK5" s="478"/>
      <c r="BL5" s="478"/>
      <c r="BM5" s="478"/>
      <c r="BN5" s="478"/>
      <c r="BO5" s="479"/>
    </row>
    <row r="6" spans="1:69" s="37" customFormat="1" ht="46.5" customHeight="1" thickBot="1" x14ac:dyDescent="0.3">
      <c r="A6" s="38"/>
      <c r="B6" s="446" t="s">
        <v>57</v>
      </c>
      <c r="C6" s="471" t="s">
        <v>32</v>
      </c>
      <c r="D6" s="472"/>
      <c r="E6" s="473"/>
      <c r="F6" s="471" t="s">
        <v>31</v>
      </c>
      <c r="G6" s="472"/>
      <c r="H6" s="473"/>
      <c r="I6" s="474" t="s">
        <v>109</v>
      </c>
      <c r="J6" s="475"/>
      <c r="K6" s="476"/>
      <c r="L6" s="480"/>
      <c r="M6" s="481"/>
      <c r="N6" s="482"/>
      <c r="O6" s="493" t="s">
        <v>30</v>
      </c>
      <c r="P6" s="494"/>
      <c r="Q6" s="495"/>
      <c r="R6" s="493" t="s">
        <v>104</v>
      </c>
      <c r="S6" s="494"/>
      <c r="T6" s="495"/>
      <c r="U6" s="266" t="s">
        <v>69</v>
      </c>
      <c r="V6" s="474" t="s">
        <v>25</v>
      </c>
      <c r="W6" s="475"/>
      <c r="X6" s="476"/>
      <c r="Y6" s="493" t="s">
        <v>29</v>
      </c>
      <c r="Z6" s="494"/>
      <c r="AA6" s="495"/>
      <c r="AB6" s="266"/>
      <c r="AC6" s="471" t="s">
        <v>63</v>
      </c>
      <c r="AD6" s="472"/>
      <c r="AE6" s="473"/>
      <c r="AF6" s="493" t="s">
        <v>70</v>
      </c>
      <c r="AG6" s="494"/>
      <c r="AH6" s="495"/>
      <c r="AI6" s="493" t="s">
        <v>28</v>
      </c>
      <c r="AJ6" s="494"/>
      <c r="AK6" s="495"/>
      <c r="AL6" s="493" t="s">
        <v>27</v>
      </c>
      <c r="AM6" s="494"/>
      <c r="AN6" s="495"/>
      <c r="AO6" s="517" t="s">
        <v>25</v>
      </c>
      <c r="AP6" s="518"/>
      <c r="AQ6" s="519"/>
      <c r="AR6" s="471" t="s">
        <v>26</v>
      </c>
      <c r="AS6" s="472"/>
      <c r="AT6" s="473"/>
      <c r="AU6" s="278" t="s">
        <v>64</v>
      </c>
      <c r="AV6" s="265" t="s">
        <v>65</v>
      </c>
      <c r="AW6" s="474" t="s">
        <v>99</v>
      </c>
      <c r="AX6" s="475"/>
      <c r="AY6" s="476"/>
      <c r="AZ6" s="492"/>
      <c r="BA6" s="461"/>
      <c r="BB6" s="462"/>
      <c r="BC6" s="542"/>
      <c r="BD6" s="461"/>
      <c r="BE6" s="462"/>
      <c r="BF6" s="463"/>
      <c r="BG6" s="448" t="s">
        <v>24</v>
      </c>
      <c r="BH6" s="449"/>
      <c r="BI6" s="450"/>
      <c r="BJ6" s="454" t="s">
        <v>23</v>
      </c>
      <c r="BK6" s="455"/>
      <c r="BL6" s="455"/>
      <c r="BM6" s="433" t="s">
        <v>22</v>
      </c>
      <c r="BN6" s="434"/>
      <c r="BO6" s="435"/>
    </row>
    <row r="7" spans="1:69" s="97" customFormat="1" ht="33.75" customHeight="1" thickBot="1" x14ac:dyDescent="0.3">
      <c r="A7" s="94"/>
      <c r="B7" s="447"/>
      <c r="C7" s="527" t="s">
        <v>96</v>
      </c>
      <c r="D7" s="528"/>
      <c r="E7" s="529"/>
      <c r="F7" s="527" t="s">
        <v>108</v>
      </c>
      <c r="G7" s="528"/>
      <c r="H7" s="529"/>
      <c r="I7" s="483"/>
      <c r="J7" s="484"/>
      <c r="K7" s="485"/>
      <c r="L7" s="489" t="s">
        <v>103</v>
      </c>
      <c r="M7" s="490"/>
      <c r="N7" s="491"/>
      <c r="O7" s="496" t="s">
        <v>96</v>
      </c>
      <c r="P7" s="497"/>
      <c r="Q7" s="498"/>
      <c r="R7" s="496" t="s">
        <v>96</v>
      </c>
      <c r="S7" s="497"/>
      <c r="T7" s="498"/>
      <c r="U7" s="96" t="s">
        <v>54</v>
      </c>
      <c r="V7" s="534" t="s">
        <v>96</v>
      </c>
      <c r="W7" s="535"/>
      <c r="X7" s="536"/>
      <c r="Y7" s="496" t="s">
        <v>96</v>
      </c>
      <c r="Z7" s="497"/>
      <c r="AA7" s="498"/>
      <c r="AB7" s="268"/>
      <c r="AC7" s="496" t="s">
        <v>106</v>
      </c>
      <c r="AD7" s="497"/>
      <c r="AE7" s="498"/>
      <c r="AF7" s="514" t="s">
        <v>107</v>
      </c>
      <c r="AG7" s="515"/>
      <c r="AH7" s="516"/>
      <c r="AI7" s="496" t="s">
        <v>108</v>
      </c>
      <c r="AJ7" s="497"/>
      <c r="AK7" s="498"/>
      <c r="AL7" s="514" t="s">
        <v>107</v>
      </c>
      <c r="AM7" s="515"/>
      <c r="AN7" s="516"/>
      <c r="AO7" s="520"/>
      <c r="AP7" s="521"/>
      <c r="AQ7" s="522"/>
      <c r="AR7" s="468" t="s">
        <v>96</v>
      </c>
      <c r="AS7" s="469"/>
      <c r="AT7" s="470"/>
      <c r="AU7" s="95" t="s">
        <v>54</v>
      </c>
      <c r="AV7" s="96" t="s">
        <v>54</v>
      </c>
      <c r="AW7" s="468" t="s">
        <v>96</v>
      </c>
      <c r="AX7" s="469"/>
      <c r="AY7" s="470"/>
      <c r="AZ7" s="279" t="s">
        <v>55</v>
      </c>
      <c r="BA7" s="465" t="s">
        <v>96</v>
      </c>
      <c r="BB7" s="466"/>
      <c r="BC7" s="543"/>
      <c r="BD7" s="465" t="s">
        <v>96</v>
      </c>
      <c r="BE7" s="466"/>
      <c r="BF7" s="467"/>
      <c r="BG7" s="451"/>
      <c r="BH7" s="452"/>
      <c r="BI7" s="453"/>
      <c r="BJ7" s="456"/>
      <c r="BK7" s="457"/>
      <c r="BL7" s="457"/>
      <c r="BM7" s="436"/>
      <c r="BN7" s="437"/>
      <c r="BO7" s="438"/>
    </row>
    <row r="8" spans="1:69" s="97" customFormat="1" ht="24" customHeight="1" thickBot="1" x14ac:dyDescent="0.3">
      <c r="A8" s="94"/>
      <c r="B8" s="131" t="s">
        <v>56</v>
      </c>
      <c r="C8" s="343" t="s">
        <v>93</v>
      </c>
      <c r="D8" s="344" t="s">
        <v>94</v>
      </c>
      <c r="E8" s="346" t="s">
        <v>95</v>
      </c>
      <c r="F8" s="343" t="s">
        <v>93</v>
      </c>
      <c r="G8" s="344" t="s">
        <v>94</v>
      </c>
      <c r="H8" s="346" t="s">
        <v>95</v>
      </c>
      <c r="I8" s="337" t="s">
        <v>93</v>
      </c>
      <c r="J8" s="338" t="s">
        <v>94</v>
      </c>
      <c r="K8" s="339" t="s">
        <v>95</v>
      </c>
      <c r="L8" s="271" t="s">
        <v>93</v>
      </c>
      <c r="M8" s="272" t="s">
        <v>94</v>
      </c>
      <c r="N8" s="273" t="s">
        <v>95</v>
      </c>
      <c r="O8" s="343" t="s">
        <v>93</v>
      </c>
      <c r="P8" s="344" t="s">
        <v>98</v>
      </c>
      <c r="Q8" s="345" t="s">
        <v>95</v>
      </c>
      <c r="R8" s="343" t="s">
        <v>93</v>
      </c>
      <c r="S8" s="344" t="s">
        <v>98</v>
      </c>
      <c r="T8" s="346" t="s">
        <v>95</v>
      </c>
      <c r="U8" s="130"/>
      <c r="V8" s="271" t="s">
        <v>93</v>
      </c>
      <c r="W8" s="272" t="s">
        <v>98</v>
      </c>
      <c r="X8" s="273" t="s">
        <v>95</v>
      </c>
      <c r="Y8" s="343" t="s">
        <v>93</v>
      </c>
      <c r="Z8" s="344" t="s">
        <v>98</v>
      </c>
      <c r="AA8" s="346" t="s">
        <v>95</v>
      </c>
      <c r="AB8" s="267"/>
      <c r="AC8" s="343" t="s">
        <v>93</v>
      </c>
      <c r="AD8" s="344" t="s">
        <v>98</v>
      </c>
      <c r="AE8" s="346" t="s">
        <v>95</v>
      </c>
      <c r="AF8" s="343" t="s">
        <v>93</v>
      </c>
      <c r="AG8" s="344" t="s">
        <v>98</v>
      </c>
      <c r="AH8" s="346" t="s">
        <v>95</v>
      </c>
      <c r="AI8" s="343" t="s">
        <v>93</v>
      </c>
      <c r="AJ8" s="344" t="s">
        <v>98</v>
      </c>
      <c r="AK8" s="346" t="s">
        <v>95</v>
      </c>
      <c r="AL8" s="343" t="s">
        <v>93</v>
      </c>
      <c r="AM8" s="344" t="s">
        <v>98</v>
      </c>
      <c r="AN8" s="346" t="s">
        <v>95</v>
      </c>
      <c r="AO8" s="271" t="s">
        <v>93</v>
      </c>
      <c r="AP8" s="272" t="s">
        <v>98</v>
      </c>
      <c r="AQ8" s="273" t="s">
        <v>95</v>
      </c>
      <c r="AR8" s="343" t="s">
        <v>93</v>
      </c>
      <c r="AS8" s="344" t="s">
        <v>98</v>
      </c>
      <c r="AT8" s="346" t="s">
        <v>95</v>
      </c>
      <c r="AU8" s="129"/>
      <c r="AV8" s="129"/>
      <c r="AW8" s="343" t="s">
        <v>93</v>
      </c>
      <c r="AX8" s="344" t="s">
        <v>98</v>
      </c>
      <c r="AY8" s="346" t="s">
        <v>95</v>
      </c>
      <c r="AZ8" s="195"/>
      <c r="BA8" s="351" t="s">
        <v>93</v>
      </c>
      <c r="BB8" s="352" t="s">
        <v>98</v>
      </c>
      <c r="BC8" s="353" t="s">
        <v>95</v>
      </c>
      <c r="BD8" s="351" t="s">
        <v>93</v>
      </c>
      <c r="BE8" s="352" t="s">
        <v>98</v>
      </c>
      <c r="BF8" s="353" t="s">
        <v>95</v>
      </c>
      <c r="BG8" s="351" t="s">
        <v>93</v>
      </c>
      <c r="BH8" s="352" t="s">
        <v>98</v>
      </c>
      <c r="BI8" s="364" t="s">
        <v>97</v>
      </c>
      <c r="BJ8" s="351" t="s">
        <v>93</v>
      </c>
      <c r="BK8" s="352" t="s">
        <v>98</v>
      </c>
      <c r="BL8" s="364" t="s">
        <v>95</v>
      </c>
      <c r="BM8" s="390" t="s">
        <v>93</v>
      </c>
      <c r="BN8" s="389" t="s">
        <v>98</v>
      </c>
      <c r="BO8" s="389" t="s">
        <v>95</v>
      </c>
    </row>
    <row r="9" spans="1:69" x14ac:dyDescent="0.25">
      <c r="A9" s="18"/>
      <c r="B9" s="132"/>
      <c r="C9" s="269"/>
      <c r="D9" s="269"/>
      <c r="E9" s="269"/>
      <c r="F9" s="269"/>
      <c r="G9" s="269"/>
      <c r="H9" s="270"/>
      <c r="I9" s="348"/>
      <c r="J9" s="349"/>
      <c r="K9" s="350"/>
      <c r="L9" s="78"/>
      <c r="M9" s="66"/>
      <c r="N9" s="179"/>
      <c r="O9" s="72"/>
      <c r="P9" s="72"/>
      <c r="Q9" s="72"/>
      <c r="R9" s="72"/>
      <c r="S9" s="187"/>
      <c r="T9" s="187"/>
      <c r="U9" s="82"/>
      <c r="V9" s="274"/>
      <c r="W9" s="275"/>
      <c r="X9" s="276"/>
      <c r="Y9" s="58"/>
      <c r="Z9" s="58"/>
      <c r="AA9" s="58"/>
      <c r="AB9" s="64"/>
      <c r="AC9" s="19"/>
      <c r="AD9" s="19"/>
      <c r="AE9" s="19"/>
      <c r="AF9" s="58"/>
      <c r="AG9" s="72"/>
      <c r="AH9" s="187"/>
      <c r="AI9" s="58"/>
      <c r="AJ9" s="58"/>
      <c r="AK9" s="19"/>
      <c r="AL9" s="58"/>
      <c r="AM9" s="58"/>
      <c r="AN9" s="19"/>
      <c r="AO9" s="203"/>
      <c r="AP9" s="204"/>
      <c r="AQ9" s="205"/>
      <c r="AR9" s="72"/>
      <c r="AS9" s="72"/>
      <c r="AT9" s="72"/>
      <c r="AU9" s="63"/>
      <c r="AV9" s="84"/>
      <c r="AW9" s="274"/>
      <c r="AX9" s="275"/>
      <c r="AY9" s="277"/>
      <c r="AZ9" s="49"/>
      <c r="BA9" s="340"/>
      <c r="BB9" s="341"/>
      <c r="BC9" s="342"/>
      <c r="BD9" s="274"/>
      <c r="BE9" s="275"/>
      <c r="BF9" s="277"/>
      <c r="BG9" s="72"/>
      <c r="BH9" s="58"/>
      <c r="BI9" s="19"/>
      <c r="BJ9" s="55"/>
      <c r="BK9" s="56"/>
      <c r="BL9" s="84"/>
      <c r="BM9" s="55"/>
      <c r="BN9" s="56"/>
      <c r="BO9" s="53"/>
    </row>
    <row r="10" spans="1:69" x14ac:dyDescent="0.25">
      <c r="A10" s="18"/>
      <c r="B10" s="133" t="s">
        <v>21</v>
      </c>
      <c r="C10" s="146"/>
      <c r="D10" s="146"/>
      <c r="E10" s="146"/>
      <c r="F10" s="146"/>
      <c r="G10" s="146"/>
      <c r="H10" s="155"/>
      <c r="I10" s="161"/>
      <c r="J10" s="154"/>
      <c r="K10" s="193"/>
      <c r="L10" s="78"/>
      <c r="M10" s="66"/>
      <c r="N10" s="179"/>
      <c r="O10" s="57"/>
      <c r="P10" s="57"/>
      <c r="Q10" s="57"/>
      <c r="R10" s="57"/>
      <c r="S10" s="83"/>
      <c r="T10" s="83"/>
      <c r="U10" s="83"/>
      <c r="V10" s="163"/>
      <c r="W10" s="66"/>
      <c r="X10" s="89"/>
      <c r="Y10" s="56"/>
      <c r="Z10" s="56"/>
      <c r="AA10" s="56"/>
      <c r="AB10" s="57"/>
      <c r="AC10" s="84"/>
      <c r="AD10" s="84"/>
      <c r="AE10" s="84"/>
      <c r="AF10" s="56"/>
      <c r="AG10" s="57"/>
      <c r="AH10" s="83"/>
      <c r="AI10" s="56"/>
      <c r="AJ10" s="56"/>
      <c r="AK10" s="84"/>
      <c r="AL10" s="56"/>
      <c r="AM10" s="56"/>
      <c r="AN10" s="84"/>
      <c r="AO10" s="163"/>
      <c r="AP10" s="66"/>
      <c r="AQ10" s="179"/>
      <c r="AR10" s="57"/>
      <c r="AS10" s="57"/>
      <c r="AT10" s="57"/>
      <c r="AU10" s="56"/>
      <c r="AV10" s="84"/>
      <c r="AW10" s="163"/>
      <c r="AX10" s="66"/>
      <c r="AY10" s="179"/>
      <c r="AZ10" s="28"/>
      <c r="BA10" s="163"/>
      <c r="BB10" s="66"/>
      <c r="BC10" s="89"/>
      <c r="BD10" s="163"/>
      <c r="BE10" s="66"/>
      <c r="BF10" s="179"/>
      <c r="BG10" s="57"/>
      <c r="BH10" s="56"/>
      <c r="BI10" s="84"/>
      <c r="BJ10" s="55"/>
      <c r="BK10" s="56"/>
      <c r="BL10" s="84"/>
      <c r="BM10" s="55"/>
      <c r="BN10" s="56"/>
      <c r="BO10" s="53"/>
    </row>
    <row r="11" spans="1:69" x14ac:dyDescent="0.25">
      <c r="A11" s="18"/>
      <c r="B11" s="133" t="s">
        <v>20</v>
      </c>
      <c r="C11" s="101"/>
      <c r="D11" s="101"/>
      <c r="E11" s="101"/>
      <c r="F11" s="146"/>
      <c r="G11" s="146"/>
      <c r="H11" s="155"/>
      <c r="I11" s="161"/>
      <c r="J11" s="154"/>
      <c r="K11" s="193"/>
      <c r="L11" s="78"/>
      <c r="M11" s="66"/>
      <c r="N11" s="179"/>
      <c r="O11" s="57"/>
      <c r="P11" s="57"/>
      <c r="Q11" s="57"/>
      <c r="R11" s="56"/>
      <c r="S11" s="84"/>
      <c r="T11" s="84"/>
      <c r="U11" s="84"/>
      <c r="V11" s="163"/>
      <c r="W11" s="66"/>
      <c r="X11" s="89"/>
      <c r="Y11" s="56"/>
      <c r="Z11" s="56"/>
      <c r="AA11" s="56"/>
      <c r="AB11" s="57"/>
      <c r="AC11" s="84"/>
      <c r="AD11" s="84"/>
      <c r="AE11" s="84"/>
      <c r="AF11" s="56"/>
      <c r="AG11" s="57"/>
      <c r="AH11" s="83"/>
      <c r="AI11" s="56"/>
      <c r="AJ11" s="56"/>
      <c r="AK11" s="84"/>
      <c r="AL11" s="56"/>
      <c r="AM11" s="56"/>
      <c r="AN11" s="84"/>
      <c r="AO11" s="163"/>
      <c r="AP11" s="66"/>
      <c r="AQ11" s="179"/>
      <c r="AR11" s="57"/>
      <c r="AS11" s="57"/>
      <c r="AT11" s="57"/>
      <c r="AU11" s="56"/>
      <c r="AV11" s="84"/>
      <c r="AW11" s="163"/>
      <c r="AX11" s="66"/>
      <c r="AY11" s="179"/>
      <c r="AZ11" s="28"/>
      <c r="BA11" s="163"/>
      <c r="BB11" s="66"/>
      <c r="BC11" s="89"/>
      <c r="BD11" s="163"/>
      <c r="BE11" s="66"/>
      <c r="BF11" s="179"/>
      <c r="BG11" s="57"/>
      <c r="BH11" s="56"/>
      <c r="BI11" s="84"/>
      <c r="BJ11" s="55"/>
      <c r="BK11" s="56"/>
      <c r="BL11" s="84"/>
      <c r="BM11" s="55"/>
      <c r="BN11" s="56"/>
      <c r="BO11" s="53"/>
      <c r="BP11" s="24"/>
      <c r="BQ11" s="24"/>
    </row>
    <row r="12" spans="1:69" x14ac:dyDescent="0.25">
      <c r="A12" s="18"/>
      <c r="B12" s="134" t="s">
        <v>19</v>
      </c>
      <c r="C12" s="146"/>
      <c r="D12" s="146"/>
      <c r="E12" s="146"/>
      <c r="F12" s="152"/>
      <c r="G12" s="152"/>
      <c r="H12" s="156"/>
      <c r="I12" s="161"/>
      <c r="J12" s="154"/>
      <c r="K12" s="193"/>
      <c r="L12" s="78"/>
      <c r="M12" s="66"/>
      <c r="N12" s="179"/>
      <c r="O12" s="57"/>
      <c r="P12" s="57"/>
      <c r="Q12" s="57"/>
      <c r="R12" s="56"/>
      <c r="S12" s="84"/>
      <c r="T12" s="84"/>
      <c r="U12" s="84"/>
      <c r="V12" s="163"/>
      <c r="W12" s="66"/>
      <c r="X12" s="89"/>
      <c r="Y12" s="56"/>
      <c r="Z12" s="56"/>
      <c r="AA12" s="56"/>
      <c r="AB12" s="57"/>
      <c r="AC12" s="84"/>
      <c r="AD12" s="84"/>
      <c r="AE12" s="84"/>
      <c r="AF12" s="56"/>
      <c r="AG12" s="57"/>
      <c r="AH12" s="83"/>
      <c r="AI12" s="56"/>
      <c r="AJ12" s="56"/>
      <c r="AK12" s="84"/>
      <c r="AL12" s="56"/>
      <c r="AM12" s="56"/>
      <c r="AN12" s="84"/>
      <c r="AO12" s="163"/>
      <c r="AP12" s="66"/>
      <c r="AQ12" s="179"/>
      <c r="AR12" s="57"/>
      <c r="AS12" s="57"/>
      <c r="AT12" s="57"/>
      <c r="AU12" s="56"/>
      <c r="AV12" s="84"/>
      <c r="AW12" s="163"/>
      <c r="AX12" s="66"/>
      <c r="AY12" s="179"/>
      <c r="AZ12" s="28"/>
      <c r="BA12" s="163"/>
      <c r="BB12" s="66"/>
      <c r="BC12" s="89"/>
      <c r="BD12" s="55"/>
      <c r="BE12" s="263"/>
      <c r="BF12" s="53"/>
      <c r="BG12" s="57"/>
      <c r="BH12" s="56"/>
      <c r="BI12" s="84"/>
      <c r="BJ12" s="55"/>
      <c r="BK12" s="56"/>
      <c r="BL12" s="84"/>
      <c r="BM12" s="55"/>
      <c r="BN12" s="56"/>
      <c r="BO12" s="53"/>
      <c r="BQ12" s="24"/>
    </row>
    <row r="13" spans="1:69" x14ac:dyDescent="0.25">
      <c r="A13" s="52" t="s">
        <v>53</v>
      </c>
      <c r="B13" s="9" t="s">
        <v>18</v>
      </c>
      <c r="C13" s="147">
        <f>11640000+535000</f>
        <v>12175000</v>
      </c>
      <c r="D13" s="147">
        <v>12012161</v>
      </c>
      <c r="E13" s="147">
        <f>C13-D13</f>
        <v>162839</v>
      </c>
      <c r="F13" s="56">
        <f>10250220+389592</f>
        <v>10639812</v>
      </c>
      <c r="G13" s="56">
        <v>10639810</v>
      </c>
      <c r="H13" s="84">
        <f>F13-G13</f>
        <v>2</v>
      </c>
      <c r="I13" s="162">
        <f t="shared" ref="I13:K15" si="0">C13+F13</f>
        <v>22814812</v>
      </c>
      <c r="J13" s="246">
        <f>D13+G13</f>
        <v>22651971</v>
      </c>
      <c r="K13" s="194">
        <f t="shared" si="0"/>
        <v>162841</v>
      </c>
      <c r="L13" s="78">
        <v>5492410</v>
      </c>
      <c r="M13" s="78">
        <v>5424104</v>
      </c>
      <c r="N13" s="179">
        <f>L13-M13</f>
        <v>68306</v>
      </c>
      <c r="O13" s="57">
        <v>0</v>
      </c>
      <c r="P13" s="57">
        <v>0</v>
      </c>
      <c r="Q13" s="57">
        <f>O13-P13</f>
        <v>0</v>
      </c>
      <c r="R13" s="56">
        <f>(623480+469700+469700)*12+781440</f>
        <v>19536000</v>
      </c>
      <c r="S13" s="84">
        <v>19427594</v>
      </c>
      <c r="T13" s="84">
        <f>R13-S13</f>
        <v>108406</v>
      </c>
      <c r="U13" s="84">
        <v>0</v>
      </c>
      <c r="V13" s="163">
        <f>O13+R13+U13</f>
        <v>19536000</v>
      </c>
      <c r="W13" s="163">
        <f>P13+S13</f>
        <v>19427594</v>
      </c>
      <c r="X13" s="89">
        <f>V13-W13</f>
        <v>108406</v>
      </c>
      <c r="Y13" s="56">
        <f>56380940+480000+3300000+31193250+3855770+2847900+600000+600000+480000+5221150+2847900+2002440</f>
        <v>109809350</v>
      </c>
      <c r="Z13" s="56">
        <v>109809350</v>
      </c>
      <c r="AA13" s="56">
        <f>Y13-Z13</f>
        <v>0</v>
      </c>
      <c r="AB13" s="57"/>
      <c r="AC13" s="84">
        <f>31263760+1350965+32640000</f>
        <v>65254725</v>
      </c>
      <c r="AD13" s="84">
        <v>52017847</v>
      </c>
      <c r="AE13" s="84">
        <f>AC13-AD13</f>
        <v>13236878</v>
      </c>
      <c r="AF13" s="56">
        <f>43147200+1797800+5695800</f>
        <v>50640800</v>
      </c>
      <c r="AG13" s="57">
        <v>50640800</v>
      </c>
      <c r="AH13" s="83">
        <f>AF13-AG13</f>
        <v>0</v>
      </c>
      <c r="AI13" s="56">
        <f>35468760+3444735+1716180+5695800</f>
        <v>46325475</v>
      </c>
      <c r="AJ13" s="289">
        <v>46221736</v>
      </c>
      <c r="AK13" s="84">
        <f>AI13-AJ13</f>
        <v>103739</v>
      </c>
      <c r="AL13" s="56">
        <f>9352200+389670</f>
        <v>9741870</v>
      </c>
      <c r="AM13" s="56">
        <v>9741880</v>
      </c>
      <c r="AN13" s="84">
        <f>AL13-AM13</f>
        <v>-10</v>
      </c>
      <c r="AO13" s="163">
        <f>Y13+AC13+AF13+AI13+AL13</f>
        <v>281772220</v>
      </c>
      <c r="AP13" s="66">
        <f>Z13+AD13+AG13+AJ13+AM13</f>
        <v>268431613</v>
      </c>
      <c r="AQ13" s="179">
        <f>AA13+AE13+AH13+AK13+AN13</f>
        <v>13340607</v>
      </c>
      <c r="AR13" s="57">
        <f>79281600+1200000+2640000+3567400</f>
        <v>86689000</v>
      </c>
      <c r="AS13" s="57">
        <v>86563064</v>
      </c>
      <c r="AT13" s="57">
        <f>AR13-AS13</f>
        <v>125936</v>
      </c>
      <c r="AU13" s="56">
        <v>0</v>
      </c>
      <c r="AV13" s="84">
        <v>0</v>
      </c>
      <c r="AW13" s="163">
        <f>AR13+AU13+AV13</f>
        <v>86689000</v>
      </c>
      <c r="AX13" s="66">
        <f>AS13</f>
        <v>86563064</v>
      </c>
      <c r="AY13" s="179">
        <f>AT13</f>
        <v>125936</v>
      </c>
      <c r="AZ13" s="83">
        <v>0</v>
      </c>
      <c r="BA13" s="163">
        <v>0</v>
      </c>
      <c r="BB13" s="66">
        <v>0</v>
      </c>
      <c r="BC13" s="89">
        <f>BA13-BB13</f>
        <v>0</v>
      </c>
      <c r="BD13" s="55">
        <f>22078656+919944</f>
        <v>22998600</v>
      </c>
      <c r="BE13" s="263">
        <v>22752171</v>
      </c>
      <c r="BF13" s="53">
        <f>BD13-BE13</f>
        <v>246429</v>
      </c>
      <c r="BG13" s="57">
        <f>I13+L13+V13+AO13+AW13+AZ13+BD13+BA13</f>
        <v>439303042</v>
      </c>
      <c r="BH13" s="57">
        <f t="shared" ref="BH13:BI17" si="1">J13+M13+W13+AP13+AX13+BA13+BE13+BB13</f>
        <v>425250517</v>
      </c>
      <c r="BI13" s="57">
        <f t="shared" si="1"/>
        <v>14052525</v>
      </c>
      <c r="BJ13" s="55">
        <f t="shared" ref="BJ13:BK17" si="2">L13+AL13+AF13</f>
        <v>65875080</v>
      </c>
      <c r="BK13" s="56">
        <f t="shared" si="2"/>
        <v>65806784</v>
      </c>
      <c r="BL13" s="84">
        <f>BJ13-BK13</f>
        <v>68296</v>
      </c>
      <c r="BM13" s="55">
        <f t="shared" ref="BM13:BO17" si="3">BG13-BJ13</f>
        <v>373427962</v>
      </c>
      <c r="BN13" s="56">
        <f t="shared" si="3"/>
        <v>359443733</v>
      </c>
      <c r="BO13" s="53">
        <f t="shared" si="3"/>
        <v>13984229</v>
      </c>
    </row>
    <row r="14" spans="1:69" x14ac:dyDescent="0.25">
      <c r="A14" s="18"/>
      <c r="B14" s="9" t="s">
        <v>17</v>
      </c>
      <c r="C14" s="147">
        <f>600000+2526272+600000</f>
        <v>3726272</v>
      </c>
      <c r="D14" s="147">
        <v>3645478</v>
      </c>
      <c r="E14" s="147">
        <f t="shared" ref="E14:E17" si="4">C14-D14</f>
        <v>80794</v>
      </c>
      <c r="F14" s="56">
        <f>3326272+800000</f>
        <v>4126272</v>
      </c>
      <c r="G14" s="56">
        <v>3530512</v>
      </c>
      <c r="H14" s="84">
        <f t="shared" ref="H14:H19" si="5">F14-G14</f>
        <v>595760</v>
      </c>
      <c r="I14" s="162">
        <f t="shared" si="0"/>
        <v>7852544</v>
      </c>
      <c r="J14" s="246">
        <f t="shared" ref="J14:J17" si="6">D14+G14</f>
        <v>7175990</v>
      </c>
      <c r="K14" s="194">
        <f t="shared" si="0"/>
        <v>676554</v>
      </c>
      <c r="L14" s="78">
        <v>13629000</v>
      </c>
      <c r="M14" s="78">
        <v>13646901</v>
      </c>
      <c r="N14" s="179">
        <f t="shared" ref="N14:N17" si="7">L14-M14</f>
        <v>-17901</v>
      </c>
      <c r="O14" s="57">
        <v>0</v>
      </c>
      <c r="P14" s="57">
        <v>0</v>
      </c>
      <c r="Q14" s="57">
        <f t="shared" ref="Q14:Q17" si="8">O14-P14</f>
        <v>0</v>
      </c>
      <c r="R14" s="56">
        <f>1180000+6899699</f>
        <v>8079699</v>
      </c>
      <c r="S14" s="84">
        <v>7115471</v>
      </c>
      <c r="T14" s="84">
        <f t="shared" ref="T14:T17" si="9">R14-S14</f>
        <v>964228</v>
      </c>
      <c r="U14" s="84">
        <v>0</v>
      </c>
      <c r="V14" s="163">
        <f t="shared" ref="V14:V43" si="10">O14+R14+U14</f>
        <v>8079699</v>
      </c>
      <c r="W14" s="163">
        <f t="shared" ref="W14:W43" si="11">P14+S14</f>
        <v>7115471</v>
      </c>
      <c r="X14" s="89">
        <f t="shared" ref="X14:X17" si="12">V14-W14</f>
        <v>964228</v>
      </c>
      <c r="Y14" s="56">
        <f>10266000+10080000+1440000-10080000+9940000+1699115-3000000-200000</f>
        <v>20145115</v>
      </c>
      <c r="Z14" s="56">
        <v>11537043</v>
      </c>
      <c r="AA14" s="56">
        <f t="shared" ref="AA14:AA43" si="13">Y14-Z14</f>
        <v>8608072</v>
      </c>
      <c r="AB14" s="57"/>
      <c r="AC14" s="84">
        <v>0</v>
      </c>
      <c r="AD14" s="84">
        <v>0</v>
      </c>
      <c r="AE14" s="84">
        <f t="shared" ref="AE14:AE17" si="14">AC14-AD14</f>
        <v>0</v>
      </c>
      <c r="AF14" s="56">
        <v>3000000</v>
      </c>
      <c r="AG14" s="57">
        <v>186114</v>
      </c>
      <c r="AH14" s="83">
        <f t="shared" ref="AH14:AH17" si="15">AF14-AG14</f>
        <v>2813886</v>
      </c>
      <c r="AI14" s="56">
        <v>1500000</v>
      </c>
      <c r="AJ14" s="289">
        <v>651516</v>
      </c>
      <c r="AK14" s="84">
        <f t="shared" ref="AK14:AK17" si="16">AI14-AJ14</f>
        <v>848484</v>
      </c>
      <c r="AL14" s="56">
        <v>0</v>
      </c>
      <c r="AM14" s="56">
        <v>0</v>
      </c>
      <c r="AN14" s="84">
        <f t="shared" ref="AN14:AN17" si="17">AL14-AM14</f>
        <v>0</v>
      </c>
      <c r="AO14" s="163">
        <f>Y14+AC14+AF14+AI14+AL14</f>
        <v>24645115</v>
      </c>
      <c r="AP14" s="66">
        <f t="shared" ref="AP14:AP43" si="18">Z14+AD14+AG14+AJ14+AM14</f>
        <v>12374673</v>
      </c>
      <c r="AQ14" s="179">
        <f t="shared" ref="AQ14:AQ43" si="19">AA14+AE14+AH14+AK14+AN14</f>
        <v>12270442</v>
      </c>
      <c r="AR14" s="57">
        <v>0</v>
      </c>
      <c r="AS14" s="57">
        <v>0</v>
      </c>
      <c r="AT14" s="57">
        <f t="shared" ref="AT14:AT17" si="20">AR14-AS14</f>
        <v>0</v>
      </c>
      <c r="AU14" s="56">
        <v>0</v>
      </c>
      <c r="AV14" s="84">
        <v>0</v>
      </c>
      <c r="AW14" s="163">
        <f>AR14+AU14+AV14</f>
        <v>0</v>
      </c>
      <c r="AX14" s="66">
        <f t="shared" ref="AX14:AX17" si="21">AS14</f>
        <v>0</v>
      </c>
      <c r="AY14" s="179">
        <f t="shared" ref="AY14:AY43" si="22">AT14</f>
        <v>0</v>
      </c>
      <c r="AZ14" s="83">
        <v>0</v>
      </c>
      <c r="BA14" s="163">
        <v>0</v>
      </c>
      <c r="BB14" s="66">
        <v>0</v>
      </c>
      <c r="BC14" s="89">
        <f t="shared" ref="BC14:BC17" si="23">BA14-BB14</f>
        <v>0</v>
      </c>
      <c r="BD14" s="55">
        <f>1296000+3000000</f>
        <v>4296000</v>
      </c>
      <c r="BE14" s="263">
        <v>4066611</v>
      </c>
      <c r="BF14" s="53">
        <f t="shared" ref="BF14:BF43" si="24">BD14-BE14</f>
        <v>229389</v>
      </c>
      <c r="BG14" s="57">
        <f>I14+L14+V14+AO14+AW14+AZ14+BD14+BA14</f>
        <v>58502358</v>
      </c>
      <c r="BH14" s="57">
        <f t="shared" si="1"/>
        <v>44379646</v>
      </c>
      <c r="BI14" s="57">
        <f t="shared" si="1"/>
        <v>14122712</v>
      </c>
      <c r="BJ14" s="55">
        <f t="shared" si="2"/>
        <v>16629000</v>
      </c>
      <c r="BK14" s="56">
        <f t="shared" si="2"/>
        <v>13833015</v>
      </c>
      <c r="BL14" s="84">
        <f t="shared" ref="BL14:BL17" si="25">BJ14-BK14</f>
        <v>2795985</v>
      </c>
      <c r="BM14" s="55">
        <f t="shared" si="3"/>
        <v>41873358</v>
      </c>
      <c r="BN14" s="56">
        <f t="shared" si="3"/>
        <v>30546631</v>
      </c>
      <c r="BO14" s="53">
        <f t="shared" si="3"/>
        <v>11326727</v>
      </c>
    </row>
    <row r="15" spans="1:69" x14ac:dyDescent="0.25">
      <c r="A15" s="18"/>
      <c r="B15" s="9" t="s">
        <v>16</v>
      </c>
      <c r="C15" s="56">
        <v>0</v>
      </c>
      <c r="D15" s="56"/>
      <c r="E15" s="147">
        <f t="shared" si="4"/>
        <v>0</v>
      </c>
      <c r="F15" s="56">
        <v>300000</v>
      </c>
      <c r="G15" s="56"/>
      <c r="H15" s="84">
        <f t="shared" si="5"/>
        <v>300000</v>
      </c>
      <c r="I15" s="163">
        <f t="shared" si="0"/>
        <v>300000</v>
      </c>
      <c r="J15" s="246">
        <f t="shared" si="6"/>
        <v>0</v>
      </c>
      <c r="K15" s="194">
        <f t="shared" si="0"/>
        <v>300000</v>
      </c>
      <c r="L15" s="78">
        <v>0</v>
      </c>
      <c r="M15" s="66">
        <v>0</v>
      </c>
      <c r="N15" s="179">
        <f t="shared" si="7"/>
        <v>0</v>
      </c>
      <c r="O15" s="57">
        <v>0</v>
      </c>
      <c r="P15" s="57">
        <v>0</v>
      </c>
      <c r="Q15" s="57">
        <f t="shared" si="8"/>
        <v>0</v>
      </c>
      <c r="R15" s="56">
        <v>72000</v>
      </c>
      <c r="S15" s="84">
        <v>70124</v>
      </c>
      <c r="T15" s="84">
        <f t="shared" si="9"/>
        <v>1876</v>
      </c>
      <c r="U15" s="84">
        <v>0</v>
      </c>
      <c r="V15" s="163">
        <f t="shared" si="10"/>
        <v>72000</v>
      </c>
      <c r="W15" s="163">
        <f t="shared" si="11"/>
        <v>70124</v>
      </c>
      <c r="X15" s="89">
        <f t="shared" si="12"/>
        <v>1876</v>
      </c>
      <c r="Y15" s="56">
        <v>0</v>
      </c>
      <c r="Z15" s="56">
        <v>0</v>
      </c>
      <c r="AA15" s="56">
        <f t="shared" si="13"/>
        <v>0</v>
      </c>
      <c r="AB15" s="57"/>
      <c r="AC15" s="84">
        <v>252000</v>
      </c>
      <c r="AD15" s="84">
        <v>176250</v>
      </c>
      <c r="AE15" s="84">
        <f t="shared" si="14"/>
        <v>75750</v>
      </c>
      <c r="AF15" s="56">
        <v>0</v>
      </c>
      <c r="AG15" s="83">
        <v>227556</v>
      </c>
      <c r="AH15" s="83">
        <f t="shared" si="15"/>
        <v>-227556</v>
      </c>
      <c r="AI15" s="56">
        <v>543060</v>
      </c>
      <c r="AJ15" s="289">
        <v>429950</v>
      </c>
      <c r="AK15" s="84">
        <f t="shared" si="16"/>
        <v>113110</v>
      </c>
      <c r="AL15" s="56">
        <v>436000</v>
      </c>
      <c r="AM15" s="56">
        <v>169746</v>
      </c>
      <c r="AN15" s="84">
        <f t="shared" si="17"/>
        <v>266254</v>
      </c>
      <c r="AO15" s="163">
        <f>Y15+AC15+AF15+AI15+AL15</f>
        <v>1231060</v>
      </c>
      <c r="AP15" s="66">
        <f>Z15+AD15+AG15+AJ15+AM15</f>
        <v>1003502</v>
      </c>
      <c r="AQ15" s="179">
        <f t="shared" si="19"/>
        <v>227558</v>
      </c>
      <c r="AR15" s="57">
        <v>252000</v>
      </c>
      <c r="AS15" s="57">
        <v>0</v>
      </c>
      <c r="AT15" s="57">
        <f t="shared" si="20"/>
        <v>252000</v>
      </c>
      <c r="AU15" s="56">
        <v>0</v>
      </c>
      <c r="AV15" s="84">
        <v>0</v>
      </c>
      <c r="AW15" s="163">
        <f>AR15+AU15+AV15</f>
        <v>252000</v>
      </c>
      <c r="AX15" s="66">
        <f t="shared" si="21"/>
        <v>0</v>
      </c>
      <c r="AY15" s="179">
        <f t="shared" si="22"/>
        <v>252000</v>
      </c>
      <c r="AZ15" s="83">
        <v>0</v>
      </c>
      <c r="BA15" s="163">
        <v>0</v>
      </c>
      <c r="BB15" s="66">
        <v>0</v>
      </c>
      <c r="BC15" s="89">
        <f t="shared" si="23"/>
        <v>0</v>
      </c>
      <c r="BD15" s="55">
        <v>200000</v>
      </c>
      <c r="BE15" s="263">
        <v>146286</v>
      </c>
      <c r="BF15" s="53">
        <f t="shared" si="24"/>
        <v>53714</v>
      </c>
      <c r="BG15" s="57">
        <f>I15+L15+V15+AO15+AW15+AZ15+BD15+BA15</f>
        <v>2055060</v>
      </c>
      <c r="BH15" s="57">
        <f t="shared" si="1"/>
        <v>1219912</v>
      </c>
      <c r="BI15" s="57">
        <f t="shared" si="1"/>
        <v>835148</v>
      </c>
      <c r="BJ15" s="55">
        <f t="shared" si="2"/>
        <v>436000</v>
      </c>
      <c r="BK15" s="56">
        <f t="shared" si="2"/>
        <v>397302</v>
      </c>
      <c r="BL15" s="84">
        <f t="shared" si="25"/>
        <v>38698</v>
      </c>
      <c r="BM15" s="55">
        <f t="shared" si="3"/>
        <v>1619060</v>
      </c>
      <c r="BN15" s="56">
        <f t="shared" si="3"/>
        <v>822610</v>
      </c>
      <c r="BO15" s="53">
        <f t="shared" si="3"/>
        <v>796450</v>
      </c>
    </row>
    <row r="16" spans="1:69" x14ac:dyDescent="0.25">
      <c r="A16" s="18"/>
      <c r="B16" s="134" t="s">
        <v>15</v>
      </c>
      <c r="C16" s="56">
        <f>(C13+C14)*13%</f>
        <v>2067165.36</v>
      </c>
      <c r="D16" s="56">
        <v>1347661</v>
      </c>
      <c r="E16" s="147">
        <f t="shared" si="4"/>
        <v>719504.3600000001</v>
      </c>
      <c r="F16" s="56">
        <f>(F13+F14)*13%</f>
        <v>1919590.9200000002</v>
      </c>
      <c r="G16" s="56">
        <v>1761071</v>
      </c>
      <c r="H16" s="84">
        <f t="shared" si="5"/>
        <v>158519.92000000016</v>
      </c>
      <c r="I16" s="163">
        <f>SUM(I13:I14)*0.13</f>
        <v>3986756.2800000003</v>
      </c>
      <c r="J16" s="246">
        <f t="shared" si="6"/>
        <v>3108732</v>
      </c>
      <c r="K16" s="194">
        <f>E16+H16</f>
        <v>878024.28000000026</v>
      </c>
      <c r="L16" s="78">
        <f>(L13+L14)*13%</f>
        <v>2485783.3000000003</v>
      </c>
      <c r="M16" s="66">
        <v>2064911</v>
      </c>
      <c r="N16" s="179">
        <f t="shared" si="7"/>
        <v>420872.30000000028</v>
      </c>
      <c r="O16" s="57">
        <v>0</v>
      </c>
      <c r="P16" s="57">
        <v>0</v>
      </c>
      <c r="Q16" s="57">
        <f t="shared" si="8"/>
        <v>0</v>
      </c>
      <c r="R16" s="56">
        <f>(R13+R14)*13%-62400</f>
        <v>3527640.87</v>
      </c>
      <c r="S16" s="84">
        <v>2987082</v>
      </c>
      <c r="T16" s="84">
        <f t="shared" si="9"/>
        <v>540558.87000000011</v>
      </c>
      <c r="U16" s="84">
        <v>0</v>
      </c>
      <c r="V16" s="163">
        <f t="shared" si="10"/>
        <v>3527640.87</v>
      </c>
      <c r="W16" s="163">
        <f t="shared" si="11"/>
        <v>2987082</v>
      </c>
      <c r="X16" s="89">
        <f t="shared" si="12"/>
        <v>540558.87000000011</v>
      </c>
      <c r="Y16" s="56">
        <f>(Y13+Y14)*13%+1</f>
        <v>16894081.449999999</v>
      </c>
      <c r="Z16" s="56">
        <v>12020603</v>
      </c>
      <c r="AA16" s="56">
        <f t="shared" si="13"/>
        <v>4873478.4499999993</v>
      </c>
      <c r="AB16" s="57"/>
      <c r="AC16" s="84">
        <f>(AC13+AC14)*13%</f>
        <v>8483114.25</v>
      </c>
      <c r="AD16" s="84">
        <v>6533455</v>
      </c>
      <c r="AE16" s="84">
        <f t="shared" si="14"/>
        <v>1949659.25</v>
      </c>
      <c r="AF16" s="56">
        <f>(AF13+AF14)*13%</f>
        <v>6973304</v>
      </c>
      <c r="AG16" s="83">
        <v>4212918</v>
      </c>
      <c r="AH16" s="83">
        <f t="shared" si="15"/>
        <v>2760386</v>
      </c>
      <c r="AI16" s="56">
        <f>(AI13+AI14)*13%</f>
        <v>6217311.75</v>
      </c>
      <c r="AJ16" s="289">
        <v>5588215</v>
      </c>
      <c r="AK16" s="84">
        <f t="shared" si="16"/>
        <v>629096.75</v>
      </c>
      <c r="AL16" s="56">
        <f>(AL13+AL14)*13%</f>
        <v>1266443.1000000001</v>
      </c>
      <c r="AM16" s="56">
        <v>1266381</v>
      </c>
      <c r="AN16" s="84">
        <f t="shared" si="17"/>
        <v>62.100000000093132</v>
      </c>
      <c r="AO16" s="163">
        <f>Y16+AC16+AF16+AI16+AL16</f>
        <v>39834254.550000004</v>
      </c>
      <c r="AP16" s="66">
        <f t="shared" si="18"/>
        <v>29621572</v>
      </c>
      <c r="AQ16" s="179">
        <f t="shared" si="19"/>
        <v>10212682.549999999</v>
      </c>
      <c r="AR16" s="118">
        <f>(AR13+AR14)*13%</f>
        <v>11269570</v>
      </c>
      <c r="AS16" s="83">
        <v>5182740</v>
      </c>
      <c r="AT16" s="57">
        <f t="shared" si="20"/>
        <v>6086830</v>
      </c>
      <c r="AU16" s="56">
        <v>0</v>
      </c>
      <c r="AV16" s="84">
        <v>0</v>
      </c>
      <c r="AW16" s="163">
        <f>AR16+AU16+AV16</f>
        <v>11269570</v>
      </c>
      <c r="AX16" s="66">
        <f t="shared" si="21"/>
        <v>5182740</v>
      </c>
      <c r="AY16" s="179">
        <f t="shared" si="22"/>
        <v>6086830</v>
      </c>
      <c r="AZ16" s="83">
        <v>0</v>
      </c>
      <c r="BA16" s="163">
        <v>0</v>
      </c>
      <c r="BB16" s="66">
        <v>0</v>
      </c>
      <c r="BC16" s="89">
        <f t="shared" si="23"/>
        <v>0</v>
      </c>
      <c r="BD16" s="55">
        <f>(BD13+BD14+BD15)*13%</f>
        <v>3574298</v>
      </c>
      <c r="BE16" s="263">
        <v>2650946</v>
      </c>
      <c r="BF16" s="53">
        <f t="shared" si="24"/>
        <v>923352</v>
      </c>
      <c r="BG16" s="57">
        <f>I16+L16+V16+AO16+AW16+AZ16+BD16+BA16</f>
        <v>64678303</v>
      </c>
      <c r="BH16" s="57">
        <f t="shared" si="1"/>
        <v>45615983</v>
      </c>
      <c r="BI16" s="57">
        <f t="shared" si="1"/>
        <v>19062320</v>
      </c>
      <c r="BJ16" s="55">
        <f t="shared" si="2"/>
        <v>10725530.4</v>
      </c>
      <c r="BK16" s="56">
        <f t="shared" si="2"/>
        <v>7544210</v>
      </c>
      <c r="BL16" s="84">
        <f t="shared" si="25"/>
        <v>3181320.4000000004</v>
      </c>
      <c r="BM16" s="55">
        <f t="shared" si="3"/>
        <v>53952772.600000001</v>
      </c>
      <c r="BN16" s="56">
        <f t="shared" si="3"/>
        <v>38071773</v>
      </c>
      <c r="BO16" s="53">
        <f t="shared" si="3"/>
        <v>15880999.6</v>
      </c>
    </row>
    <row r="17" spans="1:68" s="35" customFormat="1" x14ac:dyDescent="0.25">
      <c r="A17" s="36"/>
      <c r="B17" s="134" t="s">
        <v>14</v>
      </c>
      <c r="C17" s="56">
        <f>362040+120680+96544</f>
        <v>579264</v>
      </c>
      <c r="D17" s="56">
        <v>434448</v>
      </c>
      <c r="E17" s="147">
        <f t="shared" si="4"/>
        <v>144816</v>
      </c>
      <c r="F17" s="56">
        <f>362040+72408</f>
        <v>434448</v>
      </c>
      <c r="G17" s="56">
        <v>434448</v>
      </c>
      <c r="H17" s="84">
        <f t="shared" si="5"/>
        <v>0</v>
      </c>
      <c r="I17" s="163">
        <f>C17+F17</f>
        <v>1013712</v>
      </c>
      <c r="J17" s="246">
        <f t="shared" si="6"/>
        <v>868896</v>
      </c>
      <c r="K17" s="194">
        <f>E17+H17</f>
        <v>144816</v>
      </c>
      <c r="L17" s="78">
        <v>0</v>
      </c>
      <c r="M17" s="66">
        <v>0</v>
      </c>
      <c r="N17" s="179">
        <f t="shared" si="7"/>
        <v>0</v>
      </c>
      <c r="O17" s="57">
        <v>0</v>
      </c>
      <c r="P17" s="57">
        <v>0</v>
      </c>
      <c r="Q17" s="57">
        <f t="shared" si="8"/>
        <v>0</v>
      </c>
      <c r="R17" s="56">
        <f>543060+108612</f>
        <v>651672</v>
      </c>
      <c r="S17" s="84">
        <v>651672</v>
      </c>
      <c r="T17" s="84">
        <f t="shared" si="9"/>
        <v>0</v>
      </c>
      <c r="U17" s="84">
        <v>0</v>
      </c>
      <c r="V17" s="163">
        <f t="shared" si="10"/>
        <v>651672</v>
      </c>
      <c r="W17" s="163">
        <f t="shared" si="11"/>
        <v>651672</v>
      </c>
      <c r="X17" s="89">
        <f t="shared" si="12"/>
        <v>0</v>
      </c>
      <c r="Y17" s="56">
        <f>2114796+905104+531571.2+434448</f>
        <v>3985919.2</v>
      </c>
      <c r="Z17" s="56">
        <v>2952022</v>
      </c>
      <c r="AA17" s="56">
        <f t="shared" si="13"/>
        <v>1033897.2000000002</v>
      </c>
      <c r="AB17" s="57"/>
      <c r="AC17" s="84">
        <f>(3*181020)+349860+178584+543060+651672</f>
        <v>2266236</v>
      </c>
      <c r="AD17" s="84">
        <v>1521380</v>
      </c>
      <c r="AE17" s="84">
        <f t="shared" si="14"/>
        <v>744856</v>
      </c>
      <c r="AF17" s="56">
        <f>1752758+350551.2+181020</f>
        <v>2284329.2000000002</v>
      </c>
      <c r="AG17" s="83">
        <v>1702277</v>
      </c>
      <c r="AH17" s="83">
        <f t="shared" si="15"/>
        <v>582052.20000000019</v>
      </c>
      <c r="AI17" s="56">
        <f>1010695+202139+181020</f>
        <v>1393854</v>
      </c>
      <c r="AJ17" s="289">
        <v>1192146</v>
      </c>
      <c r="AK17" s="84">
        <f t="shared" si="16"/>
        <v>201708</v>
      </c>
      <c r="AL17" s="56">
        <f>349860+69972</f>
        <v>419832</v>
      </c>
      <c r="AM17" s="56">
        <v>409116</v>
      </c>
      <c r="AN17" s="84">
        <f t="shared" si="17"/>
        <v>10716</v>
      </c>
      <c r="AO17" s="163">
        <f>Y17+AC17+AF17+AI17+AL17</f>
        <v>10350170.4</v>
      </c>
      <c r="AP17" s="66">
        <f t="shared" si="18"/>
        <v>7776941</v>
      </c>
      <c r="AQ17" s="179">
        <f t="shared" si="19"/>
        <v>2573229.4000000004</v>
      </c>
      <c r="AR17" s="57">
        <f>1873445+374689</f>
        <v>2248134</v>
      </c>
      <c r="AS17" s="57">
        <v>2157622</v>
      </c>
      <c r="AT17" s="57">
        <f t="shared" si="20"/>
        <v>90512</v>
      </c>
      <c r="AU17" s="56">
        <v>0</v>
      </c>
      <c r="AV17" s="84">
        <v>0</v>
      </c>
      <c r="AW17" s="163">
        <f>AR17+AU17+AV17</f>
        <v>2248134</v>
      </c>
      <c r="AX17" s="66">
        <f t="shared" si="21"/>
        <v>2157622</v>
      </c>
      <c r="AY17" s="179">
        <f t="shared" si="22"/>
        <v>90512</v>
      </c>
      <c r="AZ17" s="83">
        <v>0</v>
      </c>
      <c r="BA17" s="163">
        <v>0</v>
      </c>
      <c r="BB17" s="66">
        <v>0</v>
      </c>
      <c r="BC17" s="89">
        <f t="shared" si="23"/>
        <v>0</v>
      </c>
      <c r="BD17" s="55">
        <f>3*181020+135756+135763.2</f>
        <v>814579.19999999995</v>
      </c>
      <c r="BE17" s="263">
        <v>759977</v>
      </c>
      <c r="BF17" s="53">
        <f t="shared" si="24"/>
        <v>54602.199999999953</v>
      </c>
      <c r="BG17" s="57">
        <f>I17+L17+V17+AO17+AW17+AZ17+BD17+BA17</f>
        <v>15078267.6</v>
      </c>
      <c r="BH17" s="57">
        <f t="shared" si="1"/>
        <v>12215108</v>
      </c>
      <c r="BI17" s="57">
        <f t="shared" si="1"/>
        <v>2863159.6000000006</v>
      </c>
      <c r="BJ17" s="55">
        <f t="shared" si="2"/>
        <v>2704161.2</v>
      </c>
      <c r="BK17" s="56">
        <f t="shared" si="2"/>
        <v>2111393</v>
      </c>
      <c r="BL17" s="84">
        <f t="shared" si="25"/>
        <v>592768.20000000019</v>
      </c>
      <c r="BM17" s="55">
        <f t="shared" si="3"/>
        <v>12374106.399999999</v>
      </c>
      <c r="BN17" s="56">
        <f t="shared" si="3"/>
        <v>10103715</v>
      </c>
      <c r="BO17" s="53">
        <f t="shared" si="3"/>
        <v>2270391.4000000004</v>
      </c>
    </row>
    <row r="18" spans="1:68" ht="21" x14ac:dyDescent="0.35">
      <c r="A18" s="18"/>
      <c r="B18" s="135" t="s">
        <v>13</v>
      </c>
      <c r="C18" s="62"/>
      <c r="D18" s="62"/>
      <c r="E18" s="62"/>
      <c r="F18" s="62"/>
      <c r="G18" s="62"/>
      <c r="H18" s="85"/>
      <c r="I18" s="34"/>
      <c r="J18" s="62"/>
      <c r="K18" s="33"/>
      <c r="L18" s="170"/>
      <c r="M18" s="62"/>
      <c r="N18" s="33"/>
      <c r="O18" s="170"/>
      <c r="P18" s="170"/>
      <c r="Q18" s="170"/>
      <c r="R18" s="62"/>
      <c r="S18" s="85"/>
      <c r="T18" s="85"/>
      <c r="U18" s="85"/>
      <c r="V18" s="34"/>
      <c r="W18" s="34">
        <f t="shared" si="11"/>
        <v>0</v>
      </c>
      <c r="X18" s="85"/>
      <c r="Y18" s="62"/>
      <c r="Z18" s="62"/>
      <c r="AA18" s="62"/>
      <c r="AB18" s="170"/>
      <c r="AC18" s="85"/>
      <c r="AD18" s="85"/>
      <c r="AE18" s="85"/>
      <c r="AF18" s="62"/>
      <c r="AG18" s="80"/>
      <c r="AH18" s="80"/>
      <c r="AI18" s="62"/>
      <c r="AJ18" s="290"/>
      <c r="AK18" s="85"/>
      <c r="AL18" s="62"/>
      <c r="AM18" s="62"/>
      <c r="AN18" s="85"/>
      <c r="AO18" s="190"/>
      <c r="AP18" s="282"/>
      <c r="AQ18" s="283"/>
      <c r="AR18" s="170"/>
      <c r="AS18" s="170"/>
      <c r="AT18" s="170"/>
      <c r="AU18" s="62"/>
      <c r="AV18" s="85"/>
      <c r="AW18" s="34"/>
      <c r="AX18" s="62"/>
      <c r="AY18" s="33"/>
      <c r="AZ18" s="80"/>
      <c r="BA18" s="34"/>
      <c r="BB18" s="62"/>
      <c r="BC18" s="85"/>
      <c r="BD18" s="34"/>
      <c r="BE18" s="285"/>
      <c r="BF18" s="286"/>
      <c r="BG18" s="170"/>
      <c r="BH18" s="170"/>
      <c r="BI18" s="85"/>
      <c r="BJ18" s="34"/>
      <c r="BK18" s="62"/>
      <c r="BL18" s="85"/>
      <c r="BM18" s="34"/>
      <c r="BN18" s="62"/>
      <c r="BO18" s="33"/>
    </row>
    <row r="19" spans="1:68" x14ac:dyDescent="0.25">
      <c r="A19" s="18"/>
      <c r="B19" s="9" t="s">
        <v>52</v>
      </c>
      <c r="C19" s="56">
        <f>2836745+3000000</f>
        <v>5836745</v>
      </c>
      <c r="D19" s="56">
        <v>4371166</v>
      </c>
      <c r="E19" s="427">
        <f>C19-D19</f>
        <v>1465579</v>
      </c>
      <c r="F19" s="427">
        <v>4000000</v>
      </c>
      <c r="G19" s="427">
        <v>-1263003</v>
      </c>
      <c r="H19" s="428">
        <f t="shared" si="5"/>
        <v>5263003</v>
      </c>
      <c r="I19" s="163">
        <f t="shared" ref="I19:J34" si="26">C19+F19</f>
        <v>9836745</v>
      </c>
      <c r="J19" s="163">
        <f t="shared" si="26"/>
        <v>3108163</v>
      </c>
      <c r="K19" s="179">
        <f t="shared" ref="K19:K43" si="27">E19+H19</f>
        <v>6728582</v>
      </c>
      <c r="L19" s="78">
        <v>0</v>
      </c>
      <c r="M19" s="66">
        <v>0</v>
      </c>
      <c r="N19" s="179"/>
      <c r="O19" s="57">
        <v>25000</v>
      </c>
      <c r="P19" s="57">
        <f>29720-8313</f>
        <v>21407</v>
      </c>
      <c r="Q19" s="57">
        <f>O19-P19</f>
        <v>3593</v>
      </c>
      <c r="R19" s="55">
        <f>530000+1500000</f>
        <v>2030000</v>
      </c>
      <c r="S19" s="83">
        <v>2607240</v>
      </c>
      <c r="T19" s="83">
        <f>R19-S19</f>
        <v>-577240</v>
      </c>
      <c r="U19" s="84">
        <v>0</v>
      </c>
      <c r="V19" s="163">
        <f t="shared" si="10"/>
        <v>2055000</v>
      </c>
      <c r="W19" s="163">
        <f t="shared" si="11"/>
        <v>2628647</v>
      </c>
      <c r="X19" s="89">
        <f>V19-W19</f>
        <v>-573647</v>
      </c>
      <c r="Y19" s="56">
        <f>11148228+1672236</f>
        <v>12820464</v>
      </c>
      <c r="Z19" s="56">
        <f>16403864+199783</f>
        <v>16603647</v>
      </c>
      <c r="AA19" s="56">
        <f t="shared" si="13"/>
        <v>-3783183</v>
      </c>
      <c r="AB19" s="57"/>
      <c r="AC19" s="84">
        <f>1912415+2258489</f>
        <v>4170904</v>
      </c>
      <c r="AD19" s="84">
        <f>6414288+7467</f>
        <v>6421755</v>
      </c>
      <c r="AE19" s="84">
        <f>AC19-AD19</f>
        <v>-2250851</v>
      </c>
      <c r="AF19" s="56">
        <v>16906865</v>
      </c>
      <c r="AG19" s="83">
        <f>8741384+377643</f>
        <v>9119027</v>
      </c>
      <c r="AH19" s="83">
        <f>AF19-AG19</f>
        <v>7787838</v>
      </c>
      <c r="AI19" s="77">
        <v>0</v>
      </c>
      <c r="AJ19" s="291">
        <v>0</v>
      </c>
      <c r="AK19" s="189">
        <f>AI19-AJ19</f>
        <v>0</v>
      </c>
      <c r="AL19" s="77">
        <v>0</v>
      </c>
      <c r="AM19" s="77">
        <v>0</v>
      </c>
      <c r="AN19" s="189">
        <f>AL19-AM19</f>
        <v>0</v>
      </c>
      <c r="AO19" s="163">
        <f t="shared" ref="AO19:AO43" si="28">Y19+AC19+AF19+AI19+AL19</f>
        <v>33898233</v>
      </c>
      <c r="AP19" s="66">
        <f t="shared" si="18"/>
        <v>32144429</v>
      </c>
      <c r="AQ19" s="179">
        <f t="shared" si="19"/>
        <v>1753804</v>
      </c>
      <c r="AR19" s="57">
        <f>1600000+500000+500000</f>
        <v>2600000</v>
      </c>
      <c r="AS19" s="57">
        <f>2095227+143512</f>
        <v>2238739</v>
      </c>
      <c r="AT19" s="57">
        <f>AR19-AS19</f>
        <v>361261</v>
      </c>
      <c r="AU19" s="56">
        <v>0</v>
      </c>
      <c r="AV19" s="84">
        <v>0</v>
      </c>
      <c r="AW19" s="163">
        <f t="shared" ref="AW19:AW29" si="29">AR19+AU19+AV19</f>
        <v>2600000</v>
      </c>
      <c r="AX19" s="66">
        <f t="shared" ref="AX19:AX43" si="30">AS19</f>
        <v>2238739</v>
      </c>
      <c r="AY19" s="179">
        <f t="shared" si="22"/>
        <v>361261</v>
      </c>
      <c r="AZ19" s="83">
        <v>0</v>
      </c>
      <c r="BA19" s="163">
        <v>0</v>
      </c>
      <c r="BB19" s="66">
        <v>0</v>
      </c>
      <c r="BC19" s="89">
        <f>BA19-BB19</f>
        <v>0</v>
      </c>
      <c r="BD19" s="163">
        <v>0</v>
      </c>
      <c r="BE19" s="264">
        <v>0</v>
      </c>
      <c r="BF19" s="287">
        <f>BD19-BE19</f>
        <v>0</v>
      </c>
      <c r="BG19" s="57">
        <f>I19+L19+V19+AO19+AW19+AZ19+BD19+BA19</f>
        <v>48389978</v>
      </c>
      <c r="BH19" s="57">
        <f t="shared" ref="BH19:BH32" si="31">J19+M19+W19+AP19+AX19+BE19+BB19</f>
        <v>40119978</v>
      </c>
      <c r="BI19" s="57">
        <f t="shared" ref="BI19:BI34" si="32">K19+N19+X19+AQ19+AY19+BB19+BF19+BC19</f>
        <v>8270000</v>
      </c>
      <c r="BJ19" s="55">
        <f t="shared" ref="BJ19:BJ26" si="33">L19+AL19+AF19</f>
        <v>16906865</v>
      </c>
      <c r="BK19" s="56">
        <f t="shared" ref="BK19:BK26" si="34">M19+AM19+AG19</f>
        <v>9119027</v>
      </c>
      <c r="BL19" s="84">
        <f t="shared" ref="BL19:BL26" si="35">N19+AN19+AH19</f>
        <v>7787838</v>
      </c>
      <c r="BM19" s="55">
        <f t="shared" ref="BM19:BM26" si="36">BG19-BJ19</f>
        <v>31483113</v>
      </c>
      <c r="BN19" s="56">
        <f t="shared" ref="BN19:BN26" si="37">BH19-BK19</f>
        <v>31000951</v>
      </c>
      <c r="BO19" s="53">
        <f t="shared" ref="BO19:BO26" si="38">BI19-BL19</f>
        <v>482162</v>
      </c>
    </row>
    <row r="20" spans="1:68" x14ac:dyDescent="0.25">
      <c r="A20" s="18"/>
      <c r="B20" s="9" t="s">
        <v>12</v>
      </c>
      <c r="C20" s="147">
        <f>3500000*1.18</f>
        <v>4130000</v>
      </c>
      <c r="D20" s="147">
        <v>4418375</v>
      </c>
      <c r="E20" s="429">
        <f t="shared" ref="E20:E43" si="39">C20-D20</f>
        <v>-288375</v>
      </c>
      <c r="F20" s="427">
        <f>5000000*1.18</f>
        <v>5900000</v>
      </c>
      <c r="G20" s="427">
        <v>2649636</v>
      </c>
      <c r="H20" s="428">
        <f t="shared" ref="H20:H43" si="40">F20-G20</f>
        <v>3250364</v>
      </c>
      <c r="I20" s="163">
        <f t="shared" si="26"/>
        <v>10030000</v>
      </c>
      <c r="J20" s="163">
        <f t="shared" si="26"/>
        <v>7068011</v>
      </c>
      <c r="K20" s="179">
        <f t="shared" si="27"/>
        <v>2961989</v>
      </c>
      <c r="L20" s="78">
        <f>1000000*1.18</f>
        <v>1180000</v>
      </c>
      <c r="M20" s="66">
        <v>885619</v>
      </c>
      <c r="N20" s="179">
        <f>L20-M20</f>
        <v>294381</v>
      </c>
      <c r="O20" s="57">
        <v>0</v>
      </c>
      <c r="P20" s="57">
        <v>0</v>
      </c>
      <c r="Q20" s="57">
        <f t="shared" ref="Q20:Q43" si="41">O20-P20</f>
        <v>0</v>
      </c>
      <c r="R20" s="56">
        <v>240000</v>
      </c>
      <c r="S20" s="56">
        <v>227305</v>
      </c>
      <c r="T20" s="83">
        <f t="shared" ref="T20:T43" si="42">R20-S20</f>
        <v>12695</v>
      </c>
      <c r="U20" s="84">
        <v>0</v>
      </c>
      <c r="V20" s="163">
        <f t="shared" si="10"/>
        <v>240000</v>
      </c>
      <c r="W20" s="163">
        <f t="shared" si="11"/>
        <v>227305</v>
      </c>
      <c r="X20" s="89">
        <f t="shared" ref="X20:X43" si="43">V20-W20</f>
        <v>12695</v>
      </c>
      <c r="Y20" s="56">
        <f>8240000*1.18+2655000+480000</f>
        <v>12858200</v>
      </c>
      <c r="Z20" s="56">
        <v>7322205</v>
      </c>
      <c r="AA20" s="56">
        <f t="shared" si="13"/>
        <v>5535995</v>
      </c>
      <c r="AB20" s="57"/>
      <c r="AC20" s="84">
        <f>3200000*1.18</f>
        <v>3776000</v>
      </c>
      <c r="AD20" s="84">
        <f>3617968+2</f>
        <v>3617970</v>
      </c>
      <c r="AE20" s="84">
        <f t="shared" ref="AE20:AE43" si="44">AC20-AD20</f>
        <v>158030</v>
      </c>
      <c r="AF20" s="56">
        <f>2200000*1.18</f>
        <v>2596000</v>
      </c>
      <c r="AG20" s="83">
        <v>2563946</v>
      </c>
      <c r="AH20" s="83">
        <f t="shared" ref="AH20:AH43" si="45">AF20-AG20</f>
        <v>32054</v>
      </c>
      <c r="AI20" s="56">
        <v>1000000</v>
      </c>
      <c r="AJ20" s="289">
        <v>457112</v>
      </c>
      <c r="AK20" s="189">
        <f t="shared" ref="AK20:AK43" si="46">AI20-AJ20</f>
        <v>542888</v>
      </c>
      <c r="AL20" s="77">
        <v>0</v>
      </c>
      <c r="AM20" s="77">
        <v>0</v>
      </c>
      <c r="AN20" s="189">
        <f t="shared" ref="AN20:AN43" si="47">AL20-AM20</f>
        <v>0</v>
      </c>
      <c r="AO20" s="163">
        <f t="shared" si="28"/>
        <v>20230200</v>
      </c>
      <c r="AP20" s="66">
        <f t="shared" si="18"/>
        <v>13961233</v>
      </c>
      <c r="AQ20" s="179">
        <f t="shared" si="19"/>
        <v>6268967</v>
      </c>
      <c r="AR20" s="57">
        <f>600000*1.18</f>
        <v>708000</v>
      </c>
      <c r="AS20" s="57">
        <v>313202</v>
      </c>
      <c r="AT20" s="57">
        <f t="shared" ref="AT20:AT30" si="48">AR20-AS20</f>
        <v>394798</v>
      </c>
      <c r="AU20" s="56">
        <v>0</v>
      </c>
      <c r="AV20" s="84">
        <v>0</v>
      </c>
      <c r="AW20" s="163">
        <f t="shared" si="29"/>
        <v>708000</v>
      </c>
      <c r="AX20" s="66">
        <f t="shared" si="30"/>
        <v>313202</v>
      </c>
      <c r="AY20" s="179">
        <f t="shared" si="22"/>
        <v>394798</v>
      </c>
      <c r="AZ20" s="83">
        <v>0</v>
      </c>
      <c r="BA20" s="163">
        <v>0</v>
      </c>
      <c r="BB20" s="66">
        <v>0</v>
      </c>
      <c r="BC20" s="89">
        <f t="shared" ref="BC20:BC43" si="49">BA20-BB20</f>
        <v>0</v>
      </c>
      <c r="BD20" s="163">
        <v>3799600</v>
      </c>
      <c r="BE20" s="264">
        <v>3348193</v>
      </c>
      <c r="BF20" s="287">
        <f t="shared" si="24"/>
        <v>451407</v>
      </c>
      <c r="BG20" s="57">
        <f t="shared" ref="BG20:BG43" si="50">I20+L20+V20+AO20+AW20+AZ20+BD20+BA20</f>
        <v>36187800</v>
      </c>
      <c r="BH20" s="57">
        <f t="shared" si="31"/>
        <v>25803563</v>
      </c>
      <c r="BI20" s="57">
        <f t="shared" si="32"/>
        <v>10384237</v>
      </c>
      <c r="BJ20" s="55">
        <f t="shared" si="33"/>
        <v>3776000</v>
      </c>
      <c r="BK20" s="56">
        <f t="shared" si="34"/>
        <v>3449565</v>
      </c>
      <c r="BL20" s="84">
        <f t="shared" si="35"/>
        <v>326435</v>
      </c>
      <c r="BM20" s="55">
        <f t="shared" si="36"/>
        <v>32411800</v>
      </c>
      <c r="BN20" s="56">
        <f t="shared" si="37"/>
        <v>22353998</v>
      </c>
      <c r="BO20" s="53">
        <f t="shared" si="38"/>
        <v>10057802</v>
      </c>
    </row>
    <row r="21" spans="1:68" ht="47.25" x14ac:dyDescent="0.25">
      <c r="A21" s="18"/>
      <c r="B21" s="10" t="s">
        <v>51</v>
      </c>
      <c r="C21" s="56">
        <f>4500000*1.18</f>
        <v>5310000</v>
      </c>
      <c r="D21" s="56">
        <f>5250800+889</f>
        <v>5251689</v>
      </c>
      <c r="E21" s="427">
        <f t="shared" si="39"/>
        <v>58311</v>
      </c>
      <c r="F21" s="427">
        <f>5000000*1.18+1000000+1000000-529330</f>
        <v>7370670</v>
      </c>
      <c r="G21" s="427">
        <f>6952447+20725</f>
        <v>6973172</v>
      </c>
      <c r="H21" s="428">
        <f t="shared" si="40"/>
        <v>397498</v>
      </c>
      <c r="I21" s="163">
        <f t="shared" si="26"/>
        <v>12680670</v>
      </c>
      <c r="J21" s="163">
        <f t="shared" si="26"/>
        <v>12224861</v>
      </c>
      <c r="K21" s="179">
        <f t="shared" si="27"/>
        <v>455809</v>
      </c>
      <c r="L21" s="78">
        <v>1118000</v>
      </c>
      <c r="M21" s="66">
        <v>310400</v>
      </c>
      <c r="N21" s="179">
        <f t="shared" ref="N21:N43" si="51">L21-M21</f>
        <v>807600</v>
      </c>
      <c r="O21" s="57">
        <v>100000</v>
      </c>
      <c r="P21" s="57">
        <v>182270</v>
      </c>
      <c r="Q21" s="57">
        <f t="shared" si="41"/>
        <v>-82270</v>
      </c>
      <c r="R21" s="56">
        <f>846600</f>
        <v>846600</v>
      </c>
      <c r="S21" s="56">
        <f>1022446+277</f>
        <v>1022723</v>
      </c>
      <c r="T21" s="427">
        <f t="shared" si="42"/>
        <v>-176123</v>
      </c>
      <c r="U21" s="84">
        <v>0</v>
      </c>
      <c r="V21" s="163">
        <f t="shared" si="10"/>
        <v>946600</v>
      </c>
      <c r="W21" s="163">
        <f t="shared" si="11"/>
        <v>1204993</v>
      </c>
      <c r="X21" s="89">
        <f t="shared" si="43"/>
        <v>-258393</v>
      </c>
      <c r="Y21" s="56">
        <v>11472800</v>
      </c>
      <c r="Z21" s="56">
        <f>8518298+258863</f>
        <v>8777161</v>
      </c>
      <c r="AA21" s="427">
        <f t="shared" si="13"/>
        <v>2695639</v>
      </c>
      <c r="AB21" s="431"/>
      <c r="AC21" s="428">
        <f>2000000*1.18</f>
        <v>2360000</v>
      </c>
      <c r="AD21" s="428">
        <f>4916323+8377</f>
        <v>4924700</v>
      </c>
      <c r="AE21" s="428">
        <f t="shared" si="44"/>
        <v>-2564700</v>
      </c>
      <c r="AF21" s="427">
        <f>3995000*1.18</f>
        <v>4714100</v>
      </c>
      <c r="AG21" s="430">
        <f>1662479+105099</f>
        <v>1767578</v>
      </c>
      <c r="AH21" s="430">
        <f t="shared" si="45"/>
        <v>2946522</v>
      </c>
      <c r="AI21" s="56">
        <f>1000000</f>
        <v>1000000</v>
      </c>
      <c r="AJ21" s="289">
        <f>415996+9</f>
        <v>416005</v>
      </c>
      <c r="AK21" s="189">
        <f t="shared" si="46"/>
        <v>583995</v>
      </c>
      <c r="AL21" s="77">
        <v>0</v>
      </c>
      <c r="AM21" s="77">
        <v>0</v>
      </c>
      <c r="AN21" s="189">
        <f t="shared" si="47"/>
        <v>0</v>
      </c>
      <c r="AO21" s="163">
        <f t="shared" si="28"/>
        <v>19546900</v>
      </c>
      <c r="AP21" s="66">
        <f t="shared" si="18"/>
        <v>15885444</v>
      </c>
      <c r="AQ21" s="179">
        <f t="shared" si="19"/>
        <v>3661456</v>
      </c>
      <c r="AR21" s="57">
        <v>4500000</v>
      </c>
      <c r="AS21" s="57">
        <f>4468578+30020</f>
        <v>4498598</v>
      </c>
      <c r="AT21" s="57">
        <f t="shared" si="48"/>
        <v>1402</v>
      </c>
      <c r="AU21" s="56">
        <v>0</v>
      </c>
      <c r="AV21" s="84">
        <v>0</v>
      </c>
      <c r="AW21" s="163">
        <f t="shared" si="29"/>
        <v>4500000</v>
      </c>
      <c r="AX21" s="66">
        <f t="shared" si="30"/>
        <v>4498598</v>
      </c>
      <c r="AY21" s="179">
        <f t="shared" si="22"/>
        <v>1402</v>
      </c>
      <c r="AZ21" s="83">
        <v>0</v>
      </c>
      <c r="BA21" s="163">
        <v>0</v>
      </c>
      <c r="BB21" s="66">
        <v>0</v>
      </c>
      <c r="BC21" s="89">
        <f t="shared" si="49"/>
        <v>0</v>
      </c>
      <c r="BD21" s="163">
        <v>0</v>
      </c>
      <c r="BE21" s="264">
        <v>186000</v>
      </c>
      <c r="BF21" s="287">
        <f t="shared" si="24"/>
        <v>-186000</v>
      </c>
      <c r="BG21" s="57">
        <f t="shared" si="50"/>
        <v>38792170</v>
      </c>
      <c r="BH21" s="57">
        <f t="shared" si="31"/>
        <v>34310296</v>
      </c>
      <c r="BI21" s="57">
        <f t="shared" si="32"/>
        <v>4481874</v>
      </c>
      <c r="BJ21" s="55">
        <f t="shared" si="33"/>
        <v>5832100</v>
      </c>
      <c r="BK21" s="56">
        <f t="shared" si="34"/>
        <v>2077978</v>
      </c>
      <c r="BL21" s="84">
        <f t="shared" si="35"/>
        <v>3754122</v>
      </c>
      <c r="BM21" s="55">
        <f t="shared" si="36"/>
        <v>32960070</v>
      </c>
      <c r="BN21" s="56">
        <f t="shared" si="37"/>
        <v>32232318</v>
      </c>
      <c r="BO21" s="53">
        <f t="shared" si="38"/>
        <v>727752</v>
      </c>
    </row>
    <row r="22" spans="1:68" x14ac:dyDescent="0.25">
      <c r="A22" s="18"/>
      <c r="B22" s="10" t="s">
        <v>10</v>
      </c>
      <c r="C22" s="147">
        <f>15502080+5380000+552000+2400000-1500000</f>
        <v>22334080</v>
      </c>
      <c r="D22" s="147">
        <v>15736444</v>
      </c>
      <c r="E22" s="427">
        <f t="shared" si="39"/>
        <v>6597636</v>
      </c>
      <c r="F22" s="427">
        <f>14320000+1500000+529330+1000000</f>
        <v>17349330</v>
      </c>
      <c r="G22" s="427">
        <f>17349330+403920</f>
        <v>17753250</v>
      </c>
      <c r="H22" s="428">
        <f t="shared" si="40"/>
        <v>-403920</v>
      </c>
      <c r="I22" s="163">
        <f t="shared" si="26"/>
        <v>39683410</v>
      </c>
      <c r="J22" s="163">
        <f t="shared" si="26"/>
        <v>33489694</v>
      </c>
      <c r="K22" s="179">
        <f t="shared" si="27"/>
        <v>6193716</v>
      </c>
      <c r="L22" s="78">
        <v>18668520</v>
      </c>
      <c r="M22" s="66">
        <v>9740879</v>
      </c>
      <c r="N22" s="179">
        <f t="shared" si="51"/>
        <v>8927641</v>
      </c>
      <c r="O22" s="57">
        <v>0</v>
      </c>
      <c r="P22" s="57">
        <v>0</v>
      </c>
      <c r="Q22" s="57">
        <f t="shared" si="41"/>
        <v>0</v>
      </c>
      <c r="R22" s="56">
        <f>2000000-400000-312000</f>
        <v>1288000</v>
      </c>
      <c r="S22" s="56">
        <v>383132</v>
      </c>
      <c r="T22" s="56">
        <f t="shared" si="42"/>
        <v>904868</v>
      </c>
      <c r="U22" s="84">
        <v>0</v>
      </c>
      <c r="V22" s="163">
        <f t="shared" si="10"/>
        <v>1288000</v>
      </c>
      <c r="W22" s="163">
        <f t="shared" si="11"/>
        <v>383132</v>
      </c>
      <c r="X22" s="89">
        <f t="shared" si="43"/>
        <v>904868</v>
      </c>
      <c r="Y22" s="56">
        <f>18221560+20000000+2400000-2500000-1500000-300000</f>
        <v>36321560</v>
      </c>
      <c r="Z22" s="56">
        <f>21030523+950905</f>
        <v>21981428</v>
      </c>
      <c r="AA22" s="427">
        <f t="shared" si="13"/>
        <v>14340132</v>
      </c>
      <c r="AB22" s="431"/>
      <c r="AC22" s="428">
        <f>25000000+5000000+9856764</f>
        <v>39856764</v>
      </c>
      <c r="AD22" s="428">
        <f>38526014+15616</f>
        <v>38541630</v>
      </c>
      <c r="AE22" s="428">
        <f t="shared" si="44"/>
        <v>1315134</v>
      </c>
      <c r="AF22" s="427">
        <f>18000000+600000</f>
        <v>18600000</v>
      </c>
      <c r="AG22" s="428">
        <f>16485473+153471</f>
        <v>16638944</v>
      </c>
      <c r="AH22" s="430">
        <f t="shared" si="45"/>
        <v>1961056</v>
      </c>
      <c r="AI22" s="56">
        <f>108498000+14000000+6900000+1300000+3200000</f>
        <v>133898000</v>
      </c>
      <c r="AJ22" s="289">
        <f>132807281+609</f>
        <v>132807890</v>
      </c>
      <c r="AK22" s="189">
        <f t="shared" si="46"/>
        <v>1090110</v>
      </c>
      <c r="AL22" s="77">
        <v>1414000</v>
      </c>
      <c r="AM22" s="77">
        <v>0</v>
      </c>
      <c r="AN22" s="189">
        <f t="shared" si="47"/>
        <v>1414000</v>
      </c>
      <c r="AO22" s="163">
        <f t="shared" si="28"/>
        <v>230090324</v>
      </c>
      <c r="AP22" s="66">
        <f t="shared" si="18"/>
        <v>209969892</v>
      </c>
      <c r="AQ22" s="179">
        <f t="shared" si="19"/>
        <v>20120432</v>
      </c>
      <c r="AR22" s="57">
        <f>59700000*1.18+3000000+17000000</f>
        <v>90446000</v>
      </c>
      <c r="AS22" s="57">
        <v>85761431</v>
      </c>
      <c r="AT22" s="57">
        <f t="shared" si="48"/>
        <v>4684569</v>
      </c>
      <c r="AU22" s="56">
        <v>0</v>
      </c>
      <c r="AV22" s="84">
        <v>0</v>
      </c>
      <c r="AW22" s="163">
        <f t="shared" si="29"/>
        <v>90446000</v>
      </c>
      <c r="AX22" s="66">
        <f t="shared" si="30"/>
        <v>85761431</v>
      </c>
      <c r="AY22" s="179">
        <f t="shared" si="22"/>
        <v>4684569</v>
      </c>
      <c r="AZ22" s="83">
        <v>0</v>
      </c>
      <c r="BA22" s="163">
        <v>0</v>
      </c>
      <c r="BB22" s="66">
        <v>0</v>
      </c>
      <c r="BC22" s="89">
        <f t="shared" si="49"/>
        <v>0</v>
      </c>
      <c r="BD22" s="163">
        <v>2242000</v>
      </c>
      <c r="BE22" s="264">
        <f>1583958+18380</f>
        <v>1602338</v>
      </c>
      <c r="BF22" s="287">
        <f t="shared" si="24"/>
        <v>639662</v>
      </c>
      <c r="BG22" s="57">
        <f t="shared" si="50"/>
        <v>382418254</v>
      </c>
      <c r="BH22" s="57">
        <f t="shared" si="31"/>
        <v>340947366</v>
      </c>
      <c r="BI22" s="57">
        <f t="shared" si="32"/>
        <v>41470888</v>
      </c>
      <c r="BJ22" s="55">
        <f t="shared" si="33"/>
        <v>38682520</v>
      </c>
      <c r="BK22" s="56">
        <f t="shared" si="34"/>
        <v>26379823</v>
      </c>
      <c r="BL22" s="84">
        <f t="shared" si="35"/>
        <v>12302697</v>
      </c>
      <c r="BM22" s="55">
        <f t="shared" si="36"/>
        <v>343735734</v>
      </c>
      <c r="BN22" s="56">
        <f t="shared" si="37"/>
        <v>314567543</v>
      </c>
      <c r="BO22" s="53">
        <f t="shared" si="38"/>
        <v>29168191</v>
      </c>
    </row>
    <row r="23" spans="1:68" x14ac:dyDescent="0.25">
      <c r="A23" s="18"/>
      <c r="B23" s="10" t="s">
        <v>9</v>
      </c>
      <c r="C23" s="56">
        <v>0</v>
      </c>
      <c r="D23" s="56"/>
      <c r="E23" s="427">
        <f t="shared" si="39"/>
        <v>0</v>
      </c>
      <c r="F23" s="427">
        <v>0</v>
      </c>
      <c r="G23" s="427">
        <v>0</v>
      </c>
      <c r="H23" s="428">
        <f t="shared" si="40"/>
        <v>0</v>
      </c>
      <c r="I23" s="163">
        <f t="shared" si="26"/>
        <v>0</v>
      </c>
      <c r="J23" s="163">
        <f t="shared" si="26"/>
        <v>0</v>
      </c>
      <c r="K23" s="179">
        <f t="shared" si="27"/>
        <v>0</v>
      </c>
      <c r="L23" s="78">
        <v>0</v>
      </c>
      <c r="M23" s="78">
        <v>0</v>
      </c>
      <c r="N23" s="179">
        <f t="shared" si="51"/>
        <v>0</v>
      </c>
      <c r="O23" s="57">
        <v>0</v>
      </c>
      <c r="P23" s="57">
        <v>0</v>
      </c>
      <c r="Q23" s="57">
        <f t="shared" si="41"/>
        <v>0</v>
      </c>
      <c r="R23" s="56">
        <v>0</v>
      </c>
      <c r="S23" s="56"/>
      <c r="T23" s="56">
        <f t="shared" si="42"/>
        <v>0</v>
      </c>
      <c r="U23" s="84">
        <v>0</v>
      </c>
      <c r="V23" s="163">
        <f t="shared" si="10"/>
        <v>0</v>
      </c>
      <c r="W23" s="163">
        <f t="shared" si="11"/>
        <v>0</v>
      </c>
      <c r="X23" s="89">
        <f t="shared" si="43"/>
        <v>0</v>
      </c>
      <c r="Y23" s="56">
        <v>0</v>
      </c>
      <c r="Z23" s="56"/>
      <c r="AA23" s="427">
        <f t="shared" si="13"/>
        <v>0</v>
      </c>
      <c r="AB23" s="431"/>
      <c r="AC23" s="428">
        <v>0</v>
      </c>
      <c r="AD23" s="428">
        <v>0</v>
      </c>
      <c r="AE23" s="428">
        <f t="shared" si="44"/>
        <v>0</v>
      </c>
      <c r="AF23" s="427">
        <v>0</v>
      </c>
      <c r="AG23" s="430">
        <v>0</v>
      </c>
      <c r="AH23" s="430">
        <f t="shared" si="45"/>
        <v>0</v>
      </c>
      <c r="AI23" s="56">
        <v>0</v>
      </c>
      <c r="AJ23" s="289">
        <v>0</v>
      </c>
      <c r="AK23" s="189">
        <f t="shared" si="46"/>
        <v>0</v>
      </c>
      <c r="AL23" s="77">
        <v>0</v>
      </c>
      <c r="AM23" s="77">
        <v>0</v>
      </c>
      <c r="AN23" s="189">
        <f t="shared" si="47"/>
        <v>0</v>
      </c>
      <c r="AO23" s="163">
        <f t="shared" si="28"/>
        <v>0</v>
      </c>
      <c r="AP23" s="66">
        <f t="shared" si="18"/>
        <v>0</v>
      </c>
      <c r="AQ23" s="179">
        <f t="shared" si="19"/>
        <v>0</v>
      </c>
      <c r="AR23" s="57">
        <v>0</v>
      </c>
      <c r="AS23" s="57">
        <v>0</v>
      </c>
      <c r="AT23" s="57">
        <f t="shared" si="48"/>
        <v>0</v>
      </c>
      <c r="AU23" s="56">
        <v>0</v>
      </c>
      <c r="AV23" s="84">
        <v>0</v>
      </c>
      <c r="AW23" s="163">
        <f t="shared" si="29"/>
        <v>0</v>
      </c>
      <c r="AX23" s="66">
        <f t="shared" si="30"/>
        <v>0</v>
      </c>
      <c r="AY23" s="179">
        <f t="shared" si="22"/>
        <v>0</v>
      </c>
      <c r="AZ23" s="83">
        <v>0</v>
      </c>
      <c r="BA23" s="163">
        <v>0</v>
      </c>
      <c r="BB23" s="66">
        <v>0</v>
      </c>
      <c r="BC23" s="89">
        <f t="shared" si="49"/>
        <v>0</v>
      </c>
      <c r="BD23" s="163">
        <v>0</v>
      </c>
      <c r="BE23" s="264">
        <v>0</v>
      </c>
      <c r="BF23" s="287">
        <f t="shared" si="24"/>
        <v>0</v>
      </c>
      <c r="BG23" s="57">
        <f t="shared" si="50"/>
        <v>0</v>
      </c>
      <c r="BH23" s="57">
        <f t="shared" si="31"/>
        <v>0</v>
      </c>
      <c r="BI23" s="57">
        <f t="shared" si="32"/>
        <v>0</v>
      </c>
      <c r="BJ23" s="55">
        <f t="shared" si="33"/>
        <v>0</v>
      </c>
      <c r="BK23" s="56">
        <f t="shared" si="34"/>
        <v>0</v>
      </c>
      <c r="BL23" s="84">
        <f t="shared" si="35"/>
        <v>0</v>
      </c>
      <c r="BM23" s="55">
        <f t="shared" si="36"/>
        <v>0</v>
      </c>
      <c r="BN23" s="56">
        <f t="shared" si="37"/>
        <v>0</v>
      </c>
      <c r="BO23" s="53">
        <f t="shared" si="38"/>
        <v>0</v>
      </c>
    </row>
    <row r="24" spans="1:68" x14ac:dyDescent="0.25">
      <c r="A24" s="18"/>
      <c r="B24" s="10" t="s">
        <v>72</v>
      </c>
      <c r="C24" s="56">
        <v>330000</v>
      </c>
      <c r="D24" s="56">
        <v>44313</v>
      </c>
      <c r="E24" s="427">
        <f t="shared" si="39"/>
        <v>285687</v>
      </c>
      <c r="F24" s="427">
        <v>330000</v>
      </c>
      <c r="G24" s="427"/>
      <c r="H24" s="428">
        <f t="shared" si="40"/>
        <v>330000</v>
      </c>
      <c r="I24" s="55">
        <f t="shared" si="26"/>
        <v>660000</v>
      </c>
      <c r="J24" s="55">
        <f t="shared" si="26"/>
        <v>44313</v>
      </c>
      <c r="K24" s="179">
        <f t="shared" si="27"/>
        <v>615687</v>
      </c>
      <c r="L24" s="57">
        <v>0</v>
      </c>
      <c r="M24" s="57">
        <v>0</v>
      </c>
      <c r="N24" s="53">
        <f t="shared" si="51"/>
        <v>0</v>
      </c>
      <c r="O24" s="57">
        <v>0</v>
      </c>
      <c r="P24" s="57">
        <v>0</v>
      </c>
      <c r="Q24" s="57">
        <f t="shared" si="41"/>
        <v>0</v>
      </c>
      <c r="R24" s="56">
        <v>0</v>
      </c>
      <c r="S24" s="56"/>
      <c r="T24" s="56">
        <f t="shared" si="42"/>
        <v>0</v>
      </c>
      <c r="U24" s="84">
        <v>0</v>
      </c>
      <c r="V24" s="55">
        <f t="shared" si="10"/>
        <v>0</v>
      </c>
      <c r="W24" s="55">
        <f t="shared" si="11"/>
        <v>0</v>
      </c>
      <c r="X24" s="84">
        <f t="shared" si="43"/>
        <v>0</v>
      </c>
      <c r="Y24" s="56">
        <v>0</v>
      </c>
      <c r="Z24" s="56"/>
      <c r="AA24" s="427">
        <f t="shared" si="13"/>
        <v>0</v>
      </c>
      <c r="AB24" s="431"/>
      <c r="AC24" s="428">
        <f>7000000+6636844-1000000-2258489</f>
        <v>10378355</v>
      </c>
      <c r="AD24" s="428">
        <f>10334793+6667</f>
        <v>10341460</v>
      </c>
      <c r="AE24" s="428">
        <f t="shared" si="44"/>
        <v>36895</v>
      </c>
      <c r="AF24" s="427">
        <v>340000</v>
      </c>
      <c r="AG24" s="430">
        <f>113604+55965</f>
        <v>169569</v>
      </c>
      <c r="AH24" s="430">
        <f t="shared" si="45"/>
        <v>170431</v>
      </c>
      <c r="AI24" s="56">
        <v>6000000</v>
      </c>
      <c r="AJ24" s="289">
        <f>1440266+1968</f>
        <v>1442234</v>
      </c>
      <c r="AK24" s="432">
        <f t="shared" si="46"/>
        <v>4557766</v>
      </c>
      <c r="AL24" s="77">
        <v>0</v>
      </c>
      <c r="AM24" s="77">
        <v>0</v>
      </c>
      <c r="AN24" s="189">
        <f t="shared" si="47"/>
        <v>0</v>
      </c>
      <c r="AO24" s="55">
        <f t="shared" si="28"/>
        <v>16718355</v>
      </c>
      <c r="AP24" s="56">
        <f t="shared" si="18"/>
        <v>11953263</v>
      </c>
      <c r="AQ24" s="179">
        <f t="shared" si="19"/>
        <v>4765092</v>
      </c>
      <c r="AR24" s="57">
        <f>1000000-500000</f>
        <v>500000</v>
      </c>
      <c r="AS24" s="57">
        <f>391000+4</f>
        <v>391004</v>
      </c>
      <c r="AT24" s="57">
        <f t="shared" si="48"/>
        <v>108996</v>
      </c>
      <c r="AU24" s="56">
        <v>0</v>
      </c>
      <c r="AV24" s="84">
        <v>0</v>
      </c>
      <c r="AW24" s="55">
        <f t="shared" si="29"/>
        <v>500000</v>
      </c>
      <c r="AX24" s="56">
        <f t="shared" si="30"/>
        <v>391004</v>
      </c>
      <c r="AY24" s="179">
        <f t="shared" si="22"/>
        <v>108996</v>
      </c>
      <c r="AZ24" s="83">
        <v>0</v>
      </c>
      <c r="BA24" s="55">
        <v>0</v>
      </c>
      <c r="BB24" s="56">
        <v>0</v>
      </c>
      <c r="BC24" s="84">
        <f t="shared" si="49"/>
        <v>0</v>
      </c>
      <c r="BD24" s="55">
        <v>0</v>
      </c>
      <c r="BE24" s="263">
        <v>0</v>
      </c>
      <c r="BF24" s="288">
        <f t="shared" si="24"/>
        <v>0</v>
      </c>
      <c r="BG24" s="57">
        <f t="shared" si="50"/>
        <v>17878355</v>
      </c>
      <c r="BH24" s="57">
        <f t="shared" si="31"/>
        <v>12388580</v>
      </c>
      <c r="BI24" s="57">
        <f t="shared" si="32"/>
        <v>5489775</v>
      </c>
      <c r="BJ24" s="55">
        <f t="shared" si="33"/>
        <v>340000</v>
      </c>
      <c r="BK24" s="56">
        <f t="shared" si="34"/>
        <v>169569</v>
      </c>
      <c r="BL24" s="84">
        <f t="shared" si="35"/>
        <v>170431</v>
      </c>
      <c r="BM24" s="55">
        <f t="shared" si="36"/>
        <v>17538355</v>
      </c>
      <c r="BN24" s="56">
        <f t="shared" si="37"/>
        <v>12219011</v>
      </c>
      <c r="BO24" s="53">
        <f t="shared" si="38"/>
        <v>5319344</v>
      </c>
    </row>
    <row r="25" spans="1:68" x14ac:dyDescent="0.25">
      <c r="A25" s="18"/>
      <c r="B25" s="9" t="s">
        <v>7</v>
      </c>
      <c r="C25" s="56">
        <f>2000000*1.18+2500000</f>
        <v>4860000</v>
      </c>
      <c r="D25" s="56">
        <v>4751796</v>
      </c>
      <c r="E25" s="427">
        <f t="shared" si="39"/>
        <v>108204</v>
      </c>
      <c r="F25" s="427">
        <f>1500000*1.18+2500000</f>
        <v>4270000</v>
      </c>
      <c r="G25" s="427">
        <v>335350</v>
      </c>
      <c r="H25" s="428">
        <f t="shared" si="40"/>
        <v>3934650</v>
      </c>
      <c r="I25" s="163">
        <f t="shared" si="26"/>
        <v>9130000</v>
      </c>
      <c r="J25" s="163">
        <f t="shared" si="26"/>
        <v>5087146</v>
      </c>
      <c r="K25" s="179">
        <f t="shared" si="27"/>
        <v>4042854</v>
      </c>
      <c r="L25" s="78">
        <v>0</v>
      </c>
      <c r="M25" s="78">
        <v>0</v>
      </c>
      <c r="N25" s="179">
        <f t="shared" si="51"/>
        <v>0</v>
      </c>
      <c r="O25" s="57">
        <v>85000</v>
      </c>
      <c r="P25" s="57">
        <v>0</v>
      </c>
      <c r="Q25" s="57">
        <f t="shared" si="41"/>
        <v>85000</v>
      </c>
      <c r="R25" s="57">
        <f>360000+500000+400000+312000</f>
        <v>1572000</v>
      </c>
      <c r="S25" s="56">
        <v>1499920</v>
      </c>
      <c r="T25" s="56">
        <f t="shared" si="42"/>
        <v>72080</v>
      </c>
      <c r="U25" s="84">
        <v>0</v>
      </c>
      <c r="V25" s="163">
        <f t="shared" si="10"/>
        <v>1657000</v>
      </c>
      <c r="W25" s="163">
        <f t="shared" si="11"/>
        <v>1499920</v>
      </c>
      <c r="X25" s="89">
        <f t="shared" si="43"/>
        <v>157080</v>
      </c>
      <c r="Y25" s="56">
        <f>4875000+1600000+2100000+2500000</f>
        <v>11075000</v>
      </c>
      <c r="Z25" s="56">
        <f>10339536+83693</f>
        <v>10423229</v>
      </c>
      <c r="AA25" s="427">
        <f t="shared" si="13"/>
        <v>651771</v>
      </c>
      <c r="AB25" s="431"/>
      <c r="AC25" s="428">
        <f>500000*1.18</f>
        <v>590000</v>
      </c>
      <c r="AD25" s="428">
        <v>291717</v>
      </c>
      <c r="AE25" s="428">
        <f t="shared" si="44"/>
        <v>298283</v>
      </c>
      <c r="AF25" s="427">
        <f>2900000*1.18</f>
        <v>3422000</v>
      </c>
      <c r="AG25" s="430">
        <v>3736789</v>
      </c>
      <c r="AH25" s="430">
        <f t="shared" si="45"/>
        <v>-314789</v>
      </c>
      <c r="AI25" s="56">
        <v>0</v>
      </c>
      <c r="AJ25" s="289">
        <v>0</v>
      </c>
      <c r="AK25" s="189">
        <f t="shared" si="46"/>
        <v>0</v>
      </c>
      <c r="AL25" s="77">
        <v>0</v>
      </c>
      <c r="AM25" s="77">
        <v>0</v>
      </c>
      <c r="AN25" s="189">
        <f t="shared" si="47"/>
        <v>0</v>
      </c>
      <c r="AO25" s="163">
        <f t="shared" si="28"/>
        <v>15087000</v>
      </c>
      <c r="AP25" s="66">
        <f t="shared" si="18"/>
        <v>14451735</v>
      </c>
      <c r="AQ25" s="179">
        <f t="shared" si="19"/>
        <v>635265</v>
      </c>
      <c r="AR25" s="57">
        <f>1000000-500000</f>
        <v>500000</v>
      </c>
      <c r="AS25" s="57">
        <v>105956</v>
      </c>
      <c r="AT25" s="57">
        <f t="shared" si="48"/>
        <v>394044</v>
      </c>
      <c r="AU25" s="56">
        <v>0</v>
      </c>
      <c r="AV25" s="84">
        <v>0</v>
      </c>
      <c r="AW25" s="163">
        <f t="shared" si="29"/>
        <v>500000</v>
      </c>
      <c r="AX25" s="66">
        <f t="shared" si="30"/>
        <v>105956</v>
      </c>
      <c r="AY25" s="179">
        <f t="shared" si="22"/>
        <v>394044</v>
      </c>
      <c r="AZ25" s="83">
        <v>0</v>
      </c>
      <c r="BA25" s="163">
        <v>0</v>
      </c>
      <c r="BB25" s="66">
        <v>0</v>
      </c>
      <c r="BC25" s="89">
        <f t="shared" si="49"/>
        <v>0</v>
      </c>
      <c r="BD25" s="163">
        <v>0</v>
      </c>
      <c r="BE25" s="264">
        <v>0</v>
      </c>
      <c r="BF25" s="287">
        <f t="shared" si="24"/>
        <v>0</v>
      </c>
      <c r="BG25" s="57">
        <f t="shared" si="50"/>
        <v>26374000</v>
      </c>
      <c r="BH25" s="57">
        <f t="shared" si="31"/>
        <v>21144757</v>
      </c>
      <c r="BI25" s="57">
        <f t="shared" si="32"/>
        <v>5229243</v>
      </c>
      <c r="BJ25" s="55">
        <f t="shared" si="33"/>
        <v>3422000</v>
      </c>
      <c r="BK25" s="56">
        <f t="shared" si="34"/>
        <v>3736789</v>
      </c>
      <c r="BL25" s="84">
        <f t="shared" si="35"/>
        <v>-314789</v>
      </c>
      <c r="BM25" s="55">
        <f t="shared" si="36"/>
        <v>22952000</v>
      </c>
      <c r="BN25" s="56">
        <f t="shared" si="37"/>
        <v>17407968</v>
      </c>
      <c r="BO25" s="53">
        <f t="shared" si="38"/>
        <v>5544032</v>
      </c>
    </row>
    <row r="26" spans="1:68" x14ac:dyDescent="0.25">
      <c r="A26" s="18"/>
      <c r="B26" s="10" t="s">
        <v>6</v>
      </c>
      <c r="C26" s="56">
        <v>1000000</v>
      </c>
      <c r="D26" s="56">
        <f>1016404+563894</f>
        <v>1580298</v>
      </c>
      <c r="E26" s="427">
        <f t="shared" si="39"/>
        <v>-580298</v>
      </c>
      <c r="F26" s="427">
        <v>200000</v>
      </c>
      <c r="G26" s="427">
        <f>2791224+282452</f>
        <v>3073676</v>
      </c>
      <c r="H26" s="428">
        <f t="shared" si="40"/>
        <v>-2873676</v>
      </c>
      <c r="I26" s="163">
        <f t="shared" si="26"/>
        <v>1200000</v>
      </c>
      <c r="J26" s="163">
        <f t="shared" si="26"/>
        <v>4653974</v>
      </c>
      <c r="K26" s="179">
        <f t="shared" si="27"/>
        <v>-3453974</v>
      </c>
      <c r="L26" s="78">
        <v>0</v>
      </c>
      <c r="M26" s="78">
        <v>0</v>
      </c>
      <c r="N26" s="179">
        <f t="shared" si="51"/>
        <v>0</v>
      </c>
      <c r="O26" s="57">
        <v>0</v>
      </c>
      <c r="P26" s="57">
        <v>0</v>
      </c>
      <c r="Q26" s="57">
        <f t="shared" si="41"/>
        <v>0</v>
      </c>
      <c r="R26" s="56">
        <v>72000</v>
      </c>
      <c r="S26" s="56">
        <v>103670</v>
      </c>
      <c r="T26" s="56">
        <f t="shared" si="42"/>
        <v>-31670</v>
      </c>
      <c r="U26" s="84">
        <v>0</v>
      </c>
      <c r="V26" s="163">
        <f t="shared" si="10"/>
        <v>72000</v>
      </c>
      <c r="W26" s="163">
        <f t="shared" si="11"/>
        <v>103670</v>
      </c>
      <c r="X26" s="89">
        <f t="shared" si="43"/>
        <v>-31670</v>
      </c>
      <c r="Y26" s="56">
        <v>283000</v>
      </c>
      <c r="Z26" s="56">
        <v>1215197</v>
      </c>
      <c r="AA26" s="427">
        <f t="shared" si="13"/>
        <v>-932197</v>
      </c>
      <c r="AB26" s="431"/>
      <c r="AC26" s="428">
        <v>150000</v>
      </c>
      <c r="AD26" s="428">
        <v>740722</v>
      </c>
      <c r="AE26" s="428">
        <f t="shared" si="44"/>
        <v>-590722</v>
      </c>
      <c r="AF26" s="427">
        <v>80000</v>
      </c>
      <c r="AG26" s="430">
        <v>594085</v>
      </c>
      <c r="AH26" s="430">
        <f t="shared" si="45"/>
        <v>-514085</v>
      </c>
      <c r="AI26" s="56">
        <v>2000000</v>
      </c>
      <c r="AJ26" s="289">
        <v>4572374</v>
      </c>
      <c r="AK26" s="432">
        <f t="shared" si="46"/>
        <v>-2572374</v>
      </c>
      <c r="AL26" s="77">
        <v>0</v>
      </c>
      <c r="AM26" s="77">
        <v>0</v>
      </c>
      <c r="AN26" s="189">
        <f t="shared" si="47"/>
        <v>0</v>
      </c>
      <c r="AO26" s="163">
        <f t="shared" si="28"/>
        <v>2513000</v>
      </c>
      <c r="AP26" s="66">
        <f t="shared" si="18"/>
        <v>7122378</v>
      </c>
      <c r="AQ26" s="179">
        <f t="shared" si="19"/>
        <v>-4609378</v>
      </c>
      <c r="AR26" s="57">
        <v>60000</v>
      </c>
      <c r="AS26" s="57">
        <v>183866</v>
      </c>
      <c r="AT26" s="57">
        <f t="shared" si="48"/>
        <v>-123866</v>
      </c>
      <c r="AU26" s="56">
        <v>0</v>
      </c>
      <c r="AV26" s="84">
        <v>0</v>
      </c>
      <c r="AW26" s="163">
        <f t="shared" si="29"/>
        <v>60000</v>
      </c>
      <c r="AX26" s="66">
        <f t="shared" si="30"/>
        <v>183866</v>
      </c>
      <c r="AY26" s="179">
        <f t="shared" si="22"/>
        <v>-123866</v>
      </c>
      <c r="AZ26" s="83">
        <v>0</v>
      </c>
      <c r="BA26" s="163">
        <v>0</v>
      </c>
      <c r="BB26" s="66">
        <v>0</v>
      </c>
      <c r="BC26" s="89">
        <f t="shared" si="49"/>
        <v>0</v>
      </c>
      <c r="BD26" s="163">
        <v>0</v>
      </c>
      <c r="BE26" s="264">
        <v>78654</v>
      </c>
      <c r="BF26" s="287">
        <f t="shared" si="24"/>
        <v>-78654</v>
      </c>
      <c r="BG26" s="57">
        <f t="shared" si="50"/>
        <v>3845000</v>
      </c>
      <c r="BH26" s="57">
        <f t="shared" si="31"/>
        <v>12142542</v>
      </c>
      <c r="BI26" s="57">
        <f t="shared" si="32"/>
        <v>-8297542</v>
      </c>
      <c r="BJ26" s="55">
        <f t="shared" si="33"/>
        <v>80000</v>
      </c>
      <c r="BK26" s="56">
        <f t="shared" si="34"/>
        <v>594085</v>
      </c>
      <c r="BL26" s="84">
        <f t="shared" si="35"/>
        <v>-514085</v>
      </c>
      <c r="BM26" s="55">
        <f t="shared" si="36"/>
        <v>3765000</v>
      </c>
      <c r="BN26" s="56">
        <f t="shared" si="37"/>
        <v>11548457</v>
      </c>
      <c r="BO26" s="53">
        <f t="shared" si="38"/>
        <v>-7783457</v>
      </c>
    </row>
    <row r="27" spans="1:68" ht="31.5" x14ac:dyDescent="0.25">
      <c r="A27" s="18"/>
      <c r="B27" s="10" t="s">
        <v>118</v>
      </c>
      <c r="C27" s="56">
        <v>0</v>
      </c>
      <c r="D27" s="56">
        <v>0</v>
      </c>
      <c r="E27" s="427">
        <f t="shared" si="39"/>
        <v>0</v>
      </c>
      <c r="F27" s="427">
        <v>0</v>
      </c>
      <c r="G27" s="427">
        <v>0</v>
      </c>
      <c r="H27" s="428">
        <f t="shared" si="40"/>
        <v>0</v>
      </c>
      <c r="I27" s="163">
        <f t="shared" si="26"/>
        <v>0</v>
      </c>
      <c r="J27" s="163">
        <f t="shared" si="26"/>
        <v>0</v>
      </c>
      <c r="K27" s="179">
        <f t="shared" si="27"/>
        <v>0</v>
      </c>
      <c r="L27" s="78">
        <v>0</v>
      </c>
      <c r="M27" s="78">
        <v>0</v>
      </c>
      <c r="N27" s="179">
        <f t="shared" si="51"/>
        <v>0</v>
      </c>
      <c r="O27" s="57">
        <v>0</v>
      </c>
      <c r="P27" s="57">
        <v>0</v>
      </c>
      <c r="Q27" s="57">
        <f t="shared" si="41"/>
        <v>0</v>
      </c>
      <c r="R27" s="56">
        <v>0</v>
      </c>
      <c r="S27" s="56">
        <v>0</v>
      </c>
      <c r="T27" s="56">
        <f t="shared" si="42"/>
        <v>0</v>
      </c>
      <c r="U27" s="84">
        <v>0</v>
      </c>
      <c r="V27" s="163">
        <f t="shared" si="10"/>
        <v>0</v>
      </c>
      <c r="W27" s="163">
        <f t="shared" si="11"/>
        <v>0</v>
      </c>
      <c r="X27" s="89">
        <f t="shared" si="43"/>
        <v>0</v>
      </c>
      <c r="Y27" s="56">
        <v>0</v>
      </c>
      <c r="Z27" s="56">
        <v>0</v>
      </c>
      <c r="AA27" s="427">
        <f t="shared" si="13"/>
        <v>0</v>
      </c>
      <c r="AB27" s="431"/>
      <c r="AC27" s="428">
        <v>0</v>
      </c>
      <c r="AD27" s="428">
        <v>0</v>
      </c>
      <c r="AE27" s="428">
        <f t="shared" si="44"/>
        <v>0</v>
      </c>
      <c r="AF27" s="427">
        <v>0</v>
      </c>
      <c r="AG27" s="430">
        <v>0</v>
      </c>
      <c r="AH27" s="430">
        <f t="shared" si="45"/>
        <v>0</v>
      </c>
      <c r="AI27" s="77">
        <v>0</v>
      </c>
      <c r="AJ27" s="291">
        <v>0</v>
      </c>
      <c r="AK27" s="189">
        <f t="shared" si="46"/>
        <v>0</v>
      </c>
      <c r="AL27" s="77">
        <v>0</v>
      </c>
      <c r="AM27" s="77">
        <v>0</v>
      </c>
      <c r="AN27" s="189">
        <f t="shared" si="47"/>
        <v>0</v>
      </c>
      <c r="AO27" s="163">
        <f t="shared" si="28"/>
        <v>0</v>
      </c>
      <c r="AP27" s="66">
        <f t="shared" si="18"/>
        <v>0</v>
      </c>
      <c r="AQ27" s="179">
        <f t="shared" si="19"/>
        <v>0</v>
      </c>
      <c r="AR27" s="57">
        <v>0</v>
      </c>
      <c r="AS27" s="57">
        <v>0</v>
      </c>
      <c r="AT27" s="57">
        <f t="shared" si="48"/>
        <v>0</v>
      </c>
      <c r="AU27" s="56">
        <v>0</v>
      </c>
      <c r="AV27" s="84">
        <v>0</v>
      </c>
      <c r="AW27" s="163">
        <f t="shared" si="29"/>
        <v>0</v>
      </c>
      <c r="AX27" s="66">
        <f t="shared" si="30"/>
        <v>0</v>
      </c>
      <c r="AY27" s="179">
        <f t="shared" si="22"/>
        <v>0</v>
      </c>
      <c r="AZ27" s="83">
        <v>0</v>
      </c>
      <c r="BA27" s="163">
        <v>0</v>
      </c>
      <c r="BB27" s="66">
        <v>0</v>
      </c>
      <c r="BC27" s="89">
        <f t="shared" si="49"/>
        <v>0</v>
      </c>
      <c r="BD27" s="163">
        <v>0</v>
      </c>
      <c r="BE27" s="264">
        <v>0</v>
      </c>
      <c r="BF27" s="287">
        <f t="shared" si="24"/>
        <v>0</v>
      </c>
      <c r="BG27" s="57">
        <f t="shared" si="50"/>
        <v>0</v>
      </c>
      <c r="BH27" s="57">
        <f t="shared" si="31"/>
        <v>0</v>
      </c>
      <c r="BI27" s="57">
        <f t="shared" si="32"/>
        <v>0</v>
      </c>
      <c r="BJ27" s="55">
        <f t="shared" ref="BJ27:BJ43" si="52">L27+AL27+AF27</f>
        <v>0</v>
      </c>
      <c r="BK27" s="56">
        <f t="shared" ref="BK27:BK43" si="53">M27+AM27+AG27</f>
        <v>0</v>
      </c>
      <c r="BL27" s="84">
        <f t="shared" ref="BL27:BL43" si="54">N27+AN27+AH27</f>
        <v>0</v>
      </c>
      <c r="BM27" s="55">
        <f t="shared" ref="BM27:BM43" si="55">BG27-BJ27</f>
        <v>0</v>
      </c>
      <c r="BN27" s="56">
        <f t="shared" ref="BN27:BN43" si="56">BH27-BK27</f>
        <v>0</v>
      </c>
      <c r="BO27" s="53">
        <f t="shared" ref="BO27:BO43" si="57">BI27-BL27</f>
        <v>0</v>
      </c>
    </row>
    <row r="28" spans="1:68" x14ac:dyDescent="0.25">
      <c r="A28" s="18"/>
      <c r="B28" s="10" t="s">
        <v>62</v>
      </c>
      <c r="C28" s="56">
        <v>0</v>
      </c>
      <c r="D28" s="56">
        <v>0</v>
      </c>
      <c r="E28" s="56">
        <f t="shared" si="39"/>
        <v>0</v>
      </c>
      <c r="F28" s="56">
        <v>0</v>
      </c>
      <c r="G28" s="56">
        <v>0</v>
      </c>
      <c r="H28" s="84">
        <f t="shared" si="40"/>
        <v>0</v>
      </c>
      <c r="I28" s="163">
        <f t="shared" si="26"/>
        <v>0</v>
      </c>
      <c r="J28" s="163">
        <f t="shared" si="26"/>
        <v>0</v>
      </c>
      <c r="K28" s="179">
        <f t="shared" si="27"/>
        <v>0</v>
      </c>
      <c r="L28" s="78">
        <v>0</v>
      </c>
      <c r="M28" s="78">
        <v>0</v>
      </c>
      <c r="N28" s="179">
        <f t="shared" si="51"/>
        <v>0</v>
      </c>
      <c r="O28" s="57">
        <v>0</v>
      </c>
      <c r="P28" s="57">
        <v>0</v>
      </c>
      <c r="Q28" s="57">
        <f t="shared" si="41"/>
        <v>0</v>
      </c>
      <c r="R28" s="56">
        <v>0</v>
      </c>
      <c r="S28" s="56">
        <v>0</v>
      </c>
      <c r="T28" s="56">
        <f t="shared" si="42"/>
        <v>0</v>
      </c>
      <c r="U28" s="84">
        <v>0</v>
      </c>
      <c r="V28" s="163">
        <f t="shared" si="10"/>
        <v>0</v>
      </c>
      <c r="W28" s="163">
        <f t="shared" si="11"/>
        <v>0</v>
      </c>
      <c r="X28" s="89">
        <f t="shared" si="43"/>
        <v>0</v>
      </c>
      <c r="Y28" s="56">
        <v>0</v>
      </c>
      <c r="Z28" s="56">
        <v>0</v>
      </c>
      <c r="AA28" s="427">
        <f>Y28-Z29</f>
        <v>0</v>
      </c>
      <c r="AB28" s="431"/>
      <c r="AC28" s="428">
        <v>0</v>
      </c>
      <c r="AD28" s="428">
        <v>0</v>
      </c>
      <c r="AE28" s="428">
        <f t="shared" si="44"/>
        <v>0</v>
      </c>
      <c r="AF28" s="427">
        <v>0</v>
      </c>
      <c r="AG28" s="430">
        <v>0</v>
      </c>
      <c r="AH28" s="430">
        <f t="shared" si="45"/>
        <v>0</v>
      </c>
      <c r="AI28" s="77">
        <v>0</v>
      </c>
      <c r="AJ28" s="77">
        <v>0</v>
      </c>
      <c r="AK28" s="189">
        <f t="shared" si="46"/>
        <v>0</v>
      </c>
      <c r="AL28" s="77">
        <v>0</v>
      </c>
      <c r="AM28" s="77">
        <v>0</v>
      </c>
      <c r="AN28" s="189">
        <f t="shared" si="47"/>
        <v>0</v>
      </c>
      <c r="AO28" s="163">
        <f t="shared" si="28"/>
        <v>0</v>
      </c>
      <c r="AP28" s="66">
        <f t="shared" si="18"/>
        <v>0</v>
      </c>
      <c r="AQ28" s="179">
        <f t="shared" si="19"/>
        <v>0</v>
      </c>
      <c r="AR28" s="57">
        <v>0</v>
      </c>
      <c r="AS28" s="57">
        <v>0</v>
      </c>
      <c r="AT28" s="57">
        <f t="shared" si="48"/>
        <v>0</v>
      </c>
      <c r="AU28" s="56">
        <v>0</v>
      </c>
      <c r="AV28" s="84">
        <v>0</v>
      </c>
      <c r="AW28" s="163">
        <f t="shared" si="29"/>
        <v>0</v>
      </c>
      <c r="AX28" s="66">
        <f t="shared" si="30"/>
        <v>0</v>
      </c>
      <c r="AY28" s="179">
        <f t="shared" si="22"/>
        <v>0</v>
      </c>
      <c r="AZ28" s="83">
        <v>0</v>
      </c>
      <c r="BA28" s="163">
        <v>0</v>
      </c>
      <c r="BB28" s="66">
        <v>0</v>
      </c>
      <c r="BC28" s="89">
        <f t="shared" si="49"/>
        <v>0</v>
      </c>
      <c r="BD28" s="163">
        <v>0</v>
      </c>
      <c r="BE28" s="264">
        <v>0</v>
      </c>
      <c r="BF28" s="287">
        <f t="shared" si="24"/>
        <v>0</v>
      </c>
      <c r="BG28" s="57">
        <f t="shared" si="50"/>
        <v>0</v>
      </c>
      <c r="BH28" s="57">
        <f t="shared" si="31"/>
        <v>0</v>
      </c>
      <c r="BI28" s="57">
        <f t="shared" si="32"/>
        <v>0</v>
      </c>
      <c r="BJ28" s="55">
        <f t="shared" si="52"/>
        <v>0</v>
      </c>
      <c r="BK28" s="56">
        <f t="shared" si="53"/>
        <v>0</v>
      </c>
      <c r="BL28" s="84">
        <f t="shared" si="54"/>
        <v>0</v>
      </c>
      <c r="BM28" s="55">
        <f t="shared" si="55"/>
        <v>0</v>
      </c>
      <c r="BN28" s="56">
        <f t="shared" si="56"/>
        <v>0</v>
      </c>
      <c r="BO28" s="53">
        <f t="shared" si="57"/>
        <v>0</v>
      </c>
    </row>
    <row r="29" spans="1:68" s="331" customFormat="1" x14ac:dyDescent="0.25">
      <c r="A29" s="18"/>
      <c r="B29" s="330" t="s">
        <v>5</v>
      </c>
      <c r="C29" s="56">
        <v>0</v>
      </c>
      <c r="D29" s="56">
        <v>0</v>
      </c>
      <c r="E29" s="56">
        <f t="shared" si="39"/>
        <v>0</v>
      </c>
      <c r="F29" s="56">
        <v>0</v>
      </c>
      <c r="G29" s="56">
        <v>0</v>
      </c>
      <c r="H29" s="84">
        <f t="shared" si="40"/>
        <v>0</v>
      </c>
      <c r="I29" s="55">
        <f t="shared" si="26"/>
        <v>0</v>
      </c>
      <c r="J29" s="55">
        <f t="shared" si="26"/>
        <v>0</v>
      </c>
      <c r="K29" s="179">
        <f t="shared" si="27"/>
        <v>0</v>
      </c>
      <c r="L29" s="57">
        <v>0</v>
      </c>
      <c r="M29" s="57">
        <v>0</v>
      </c>
      <c r="N29" s="53">
        <f t="shared" si="51"/>
        <v>0</v>
      </c>
      <c r="O29" s="57">
        <v>0</v>
      </c>
      <c r="P29" s="57">
        <v>0</v>
      </c>
      <c r="Q29" s="57">
        <f t="shared" si="41"/>
        <v>0</v>
      </c>
      <c r="R29" s="56">
        <v>0</v>
      </c>
      <c r="S29" s="56">
        <v>0</v>
      </c>
      <c r="T29" s="56">
        <f t="shared" si="42"/>
        <v>0</v>
      </c>
      <c r="U29" s="84">
        <v>0</v>
      </c>
      <c r="V29" s="55">
        <f t="shared" si="10"/>
        <v>0</v>
      </c>
      <c r="W29" s="55">
        <f t="shared" si="11"/>
        <v>0</v>
      </c>
      <c r="X29" s="84">
        <f t="shared" si="43"/>
        <v>0</v>
      </c>
      <c r="Y29" s="56">
        <v>0</v>
      </c>
      <c r="Z29" s="56">
        <v>0</v>
      </c>
      <c r="AA29" s="427">
        <v>0</v>
      </c>
      <c r="AB29" s="431"/>
      <c r="AC29" s="428">
        <v>0</v>
      </c>
      <c r="AD29" s="428">
        <v>0</v>
      </c>
      <c r="AE29" s="428">
        <f t="shared" si="44"/>
        <v>0</v>
      </c>
      <c r="AF29" s="427">
        <v>0</v>
      </c>
      <c r="AG29" s="430"/>
      <c r="AH29" s="430">
        <f t="shared" si="45"/>
        <v>0</v>
      </c>
      <c r="AI29" s="77">
        <v>0</v>
      </c>
      <c r="AJ29" s="77"/>
      <c r="AK29" s="189">
        <f t="shared" si="46"/>
        <v>0</v>
      </c>
      <c r="AL29" s="77">
        <v>0</v>
      </c>
      <c r="AM29" s="77">
        <v>0</v>
      </c>
      <c r="AN29" s="189">
        <f t="shared" si="47"/>
        <v>0</v>
      </c>
      <c r="AO29" s="55">
        <f t="shared" si="28"/>
        <v>0</v>
      </c>
      <c r="AP29" s="56">
        <f t="shared" si="18"/>
        <v>0</v>
      </c>
      <c r="AQ29" s="179">
        <f t="shared" si="19"/>
        <v>0</v>
      </c>
      <c r="AR29" s="57">
        <v>0</v>
      </c>
      <c r="AS29" s="57"/>
      <c r="AT29" s="57">
        <f t="shared" si="48"/>
        <v>0</v>
      </c>
      <c r="AU29" s="56">
        <v>0</v>
      </c>
      <c r="AV29" s="84">
        <v>0</v>
      </c>
      <c r="AW29" s="55">
        <f t="shared" si="29"/>
        <v>0</v>
      </c>
      <c r="AX29" s="56">
        <f t="shared" si="30"/>
        <v>0</v>
      </c>
      <c r="AY29" s="179">
        <f t="shared" si="22"/>
        <v>0</v>
      </c>
      <c r="AZ29" s="83">
        <v>0</v>
      </c>
      <c r="BA29" s="55">
        <v>0</v>
      </c>
      <c r="BB29" s="56">
        <v>0</v>
      </c>
      <c r="BC29" s="84">
        <f t="shared" si="49"/>
        <v>0</v>
      </c>
      <c r="BD29" s="55">
        <v>0</v>
      </c>
      <c r="BE29" s="263">
        <v>0</v>
      </c>
      <c r="BF29" s="288">
        <f t="shared" si="24"/>
        <v>0</v>
      </c>
      <c r="BG29" s="57">
        <f t="shared" si="50"/>
        <v>0</v>
      </c>
      <c r="BH29" s="57">
        <f t="shared" si="31"/>
        <v>0</v>
      </c>
      <c r="BI29" s="57">
        <f t="shared" si="32"/>
        <v>0</v>
      </c>
      <c r="BJ29" s="55">
        <f t="shared" si="52"/>
        <v>0</v>
      </c>
      <c r="BK29" s="56">
        <f t="shared" si="53"/>
        <v>0</v>
      </c>
      <c r="BL29" s="84">
        <f t="shared" si="54"/>
        <v>0</v>
      </c>
      <c r="BM29" s="55">
        <f t="shared" si="55"/>
        <v>0</v>
      </c>
      <c r="BN29" s="56">
        <f t="shared" si="56"/>
        <v>0</v>
      </c>
      <c r="BO29" s="53">
        <f t="shared" si="57"/>
        <v>0</v>
      </c>
    </row>
    <row r="30" spans="1:68" s="331" customFormat="1" x14ac:dyDescent="0.25">
      <c r="A30" s="18"/>
      <c r="B30" s="332" t="s">
        <v>80</v>
      </c>
      <c r="C30" s="56"/>
      <c r="D30" s="56">
        <v>0</v>
      </c>
      <c r="E30" s="56">
        <f t="shared" si="39"/>
        <v>0</v>
      </c>
      <c r="F30" s="56"/>
      <c r="G30" s="56">
        <v>0</v>
      </c>
      <c r="H30" s="84">
        <f t="shared" si="40"/>
        <v>0</v>
      </c>
      <c r="I30" s="55">
        <v>0</v>
      </c>
      <c r="J30" s="55">
        <f t="shared" si="26"/>
        <v>0</v>
      </c>
      <c r="K30" s="179">
        <f t="shared" si="27"/>
        <v>0</v>
      </c>
      <c r="L30" s="57"/>
      <c r="M30" s="57">
        <v>0</v>
      </c>
      <c r="N30" s="53">
        <f t="shared" si="51"/>
        <v>0</v>
      </c>
      <c r="O30" s="57">
        <v>0</v>
      </c>
      <c r="P30" s="57">
        <v>0</v>
      </c>
      <c r="Q30" s="57">
        <f t="shared" si="41"/>
        <v>0</v>
      </c>
      <c r="R30" s="57">
        <v>300000</v>
      </c>
      <c r="S30" s="56">
        <v>276501</v>
      </c>
      <c r="T30" s="56">
        <f t="shared" si="42"/>
        <v>23499</v>
      </c>
      <c r="U30" s="84"/>
      <c r="V30" s="55">
        <f t="shared" si="10"/>
        <v>300000</v>
      </c>
      <c r="W30" s="55">
        <f t="shared" si="11"/>
        <v>276501</v>
      </c>
      <c r="X30" s="84">
        <f t="shared" si="43"/>
        <v>23499</v>
      </c>
      <c r="Y30" s="56">
        <v>1500000</v>
      </c>
      <c r="Z30" s="56">
        <v>1068314</v>
      </c>
      <c r="AA30" s="427">
        <f t="shared" si="13"/>
        <v>431686</v>
      </c>
      <c r="AB30" s="431"/>
      <c r="AC30" s="428">
        <v>0</v>
      </c>
      <c r="AD30" s="428">
        <v>0</v>
      </c>
      <c r="AE30" s="428">
        <f t="shared" si="44"/>
        <v>0</v>
      </c>
      <c r="AF30" s="427">
        <v>0</v>
      </c>
      <c r="AG30" s="430">
        <v>0</v>
      </c>
      <c r="AH30" s="430">
        <f t="shared" si="45"/>
        <v>0</v>
      </c>
      <c r="AI30" s="77">
        <v>0</v>
      </c>
      <c r="AJ30" s="77">
        <v>0</v>
      </c>
      <c r="AK30" s="189">
        <f t="shared" si="46"/>
        <v>0</v>
      </c>
      <c r="AL30" s="77">
        <v>0</v>
      </c>
      <c r="AM30" s="77">
        <v>0</v>
      </c>
      <c r="AN30" s="189">
        <f t="shared" si="47"/>
        <v>0</v>
      </c>
      <c r="AO30" s="55">
        <f t="shared" si="28"/>
        <v>1500000</v>
      </c>
      <c r="AP30" s="56">
        <f t="shared" si="18"/>
        <v>1068314</v>
      </c>
      <c r="AQ30" s="179">
        <f t="shared" si="19"/>
        <v>431686</v>
      </c>
      <c r="AR30" s="57">
        <v>0</v>
      </c>
      <c r="AS30" s="57">
        <v>0</v>
      </c>
      <c r="AT30" s="57">
        <f t="shared" si="48"/>
        <v>0</v>
      </c>
      <c r="AU30" s="56"/>
      <c r="AV30" s="84"/>
      <c r="AW30" s="55">
        <v>0</v>
      </c>
      <c r="AX30" s="56">
        <f t="shared" si="30"/>
        <v>0</v>
      </c>
      <c r="AY30" s="179">
        <f t="shared" si="22"/>
        <v>0</v>
      </c>
      <c r="AZ30" s="83"/>
      <c r="BA30" s="55"/>
      <c r="BB30" s="56">
        <v>0</v>
      </c>
      <c r="BC30" s="84">
        <f t="shared" si="49"/>
        <v>0</v>
      </c>
      <c r="BD30" s="55">
        <v>0</v>
      </c>
      <c r="BE30" s="263">
        <v>0</v>
      </c>
      <c r="BF30" s="288">
        <f t="shared" si="24"/>
        <v>0</v>
      </c>
      <c r="BG30" s="57">
        <f t="shared" si="50"/>
        <v>1800000</v>
      </c>
      <c r="BH30" s="57">
        <f t="shared" si="31"/>
        <v>1344815</v>
      </c>
      <c r="BI30" s="57">
        <f t="shared" si="32"/>
        <v>455185</v>
      </c>
      <c r="BJ30" s="55">
        <f t="shared" si="52"/>
        <v>0</v>
      </c>
      <c r="BK30" s="56">
        <f t="shared" si="53"/>
        <v>0</v>
      </c>
      <c r="BL30" s="84">
        <f t="shared" si="54"/>
        <v>0</v>
      </c>
      <c r="BM30" s="55">
        <f t="shared" si="55"/>
        <v>1800000</v>
      </c>
      <c r="BN30" s="56">
        <f t="shared" si="56"/>
        <v>1344815</v>
      </c>
      <c r="BO30" s="53">
        <f t="shared" si="57"/>
        <v>455185</v>
      </c>
      <c r="BP30" s="1"/>
    </row>
    <row r="31" spans="1:68" s="331" customFormat="1" x14ac:dyDescent="0.25">
      <c r="A31" s="18"/>
      <c r="B31" s="332" t="s">
        <v>102</v>
      </c>
      <c r="C31" s="56"/>
      <c r="D31" s="56"/>
      <c r="E31" s="56"/>
      <c r="F31" s="56"/>
      <c r="G31" s="56"/>
      <c r="H31" s="84"/>
      <c r="I31" s="55"/>
      <c r="J31" s="55"/>
      <c r="K31" s="179">
        <f t="shared" si="27"/>
        <v>0</v>
      </c>
      <c r="L31" s="57"/>
      <c r="M31" s="57"/>
      <c r="N31" s="53"/>
      <c r="O31" s="57"/>
      <c r="P31" s="57"/>
      <c r="Q31" s="57"/>
      <c r="R31" s="57"/>
      <c r="S31" s="56"/>
      <c r="T31" s="56"/>
      <c r="U31" s="84"/>
      <c r="V31" s="55"/>
      <c r="W31" s="55">
        <f t="shared" si="11"/>
        <v>0</v>
      </c>
      <c r="X31" s="84"/>
      <c r="Y31" s="56"/>
      <c r="Z31" s="56">
        <v>0</v>
      </c>
      <c r="AA31" s="56">
        <f t="shared" si="13"/>
        <v>0</v>
      </c>
      <c r="AB31" s="57"/>
      <c r="AC31" s="84"/>
      <c r="AD31" s="84"/>
      <c r="AE31" s="84"/>
      <c r="AF31" s="56"/>
      <c r="AG31" s="83"/>
      <c r="AH31" s="83"/>
      <c r="AI31" s="77"/>
      <c r="AJ31" s="77"/>
      <c r="AK31" s="189"/>
      <c r="AL31" s="77"/>
      <c r="AM31" s="77"/>
      <c r="AN31" s="189"/>
      <c r="AO31" s="55"/>
      <c r="AP31" s="56">
        <f t="shared" si="18"/>
        <v>0</v>
      </c>
      <c r="AQ31" s="179">
        <f t="shared" si="19"/>
        <v>0</v>
      </c>
      <c r="AR31" s="57"/>
      <c r="AS31" s="57"/>
      <c r="AT31" s="57"/>
      <c r="AU31" s="56"/>
      <c r="AV31" s="84"/>
      <c r="AW31" s="55"/>
      <c r="AX31" s="56"/>
      <c r="AY31" s="179">
        <f t="shared" si="22"/>
        <v>0</v>
      </c>
      <c r="AZ31" s="83"/>
      <c r="BA31" s="55"/>
      <c r="BB31" s="56"/>
      <c r="BC31" s="84"/>
      <c r="BD31" s="55"/>
      <c r="BE31" s="263">
        <v>0</v>
      </c>
      <c r="BF31" s="288">
        <f t="shared" si="24"/>
        <v>0</v>
      </c>
      <c r="BG31" s="57">
        <f t="shared" si="50"/>
        <v>0</v>
      </c>
      <c r="BH31" s="57">
        <f t="shared" si="31"/>
        <v>0</v>
      </c>
      <c r="BI31" s="57">
        <f t="shared" si="32"/>
        <v>0</v>
      </c>
      <c r="BJ31" s="55">
        <f t="shared" si="52"/>
        <v>0</v>
      </c>
      <c r="BK31" s="56">
        <f t="shared" si="53"/>
        <v>0</v>
      </c>
      <c r="BL31" s="84">
        <f t="shared" si="54"/>
        <v>0</v>
      </c>
      <c r="BM31" s="55">
        <f t="shared" si="55"/>
        <v>0</v>
      </c>
      <c r="BN31" s="56">
        <f t="shared" si="56"/>
        <v>0</v>
      </c>
      <c r="BO31" s="53">
        <f t="shared" si="57"/>
        <v>0</v>
      </c>
      <c r="BP31" s="1"/>
    </row>
    <row r="32" spans="1:68" ht="31.5" x14ac:dyDescent="0.25">
      <c r="A32" s="18"/>
      <c r="B32" s="332" t="s">
        <v>119</v>
      </c>
      <c r="C32" s="56">
        <v>0</v>
      </c>
      <c r="D32" s="56">
        <v>0</v>
      </c>
      <c r="E32" s="56">
        <f t="shared" si="39"/>
        <v>0</v>
      </c>
      <c r="F32" s="56">
        <v>0</v>
      </c>
      <c r="G32" s="56">
        <v>0</v>
      </c>
      <c r="H32" s="84">
        <f t="shared" si="40"/>
        <v>0</v>
      </c>
      <c r="I32" s="55">
        <f t="shared" ref="I32:J43" si="58">C32+F32</f>
        <v>0</v>
      </c>
      <c r="J32" s="55">
        <f t="shared" si="26"/>
        <v>0</v>
      </c>
      <c r="K32" s="179">
        <f t="shared" si="27"/>
        <v>0</v>
      </c>
      <c r="L32" s="57">
        <v>0</v>
      </c>
      <c r="M32" s="57">
        <v>0</v>
      </c>
      <c r="N32" s="53">
        <f t="shared" si="51"/>
        <v>0</v>
      </c>
      <c r="O32" s="57">
        <v>0</v>
      </c>
      <c r="P32" s="57">
        <v>0</v>
      </c>
      <c r="Q32" s="57">
        <f t="shared" si="41"/>
        <v>0</v>
      </c>
      <c r="R32" s="56">
        <v>0</v>
      </c>
      <c r="S32" s="56">
        <v>0</v>
      </c>
      <c r="T32" s="56">
        <f t="shared" si="42"/>
        <v>0</v>
      </c>
      <c r="U32" s="84">
        <v>0</v>
      </c>
      <c r="V32" s="55">
        <f t="shared" si="10"/>
        <v>0</v>
      </c>
      <c r="W32" s="55">
        <f t="shared" si="11"/>
        <v>0</v>
      </c>
      <c r="X32" s="84">
        <f t="shared" si="43"/>
        <v>0</v>
      </c>
      <c r="Y32" s="56">
        <v>0</v>
      </c>
      <c r="Z32" s="56">
        <v>0</v>
      </c>
      <c r="AA32" s="56">
        <f t="shared" si="13"/>
        <v>0</v>
      </c>
      <c r="AB32" s="57"/>
      <c r="AC32" s="84">
        <v>0</v>
      </c>
      <c r="AD32" s="84">
        <v>0</v>
      </c>
      <c r="AE32" s="84">
        <f t="shared" si="44"/>
        <v>0</v>
      </c>
      <c r="AF32" s="56">
        <v>0</v>
      </c>
      <c r="AG32" s="83">
        <v>0</v>
      </c>
      <c r="AH32" s="83">
        <f t="shared" si="45"/>
        <v>0</v>
      </c>
      <c r="AI32" s="77">
        <v>0</v>
      </c>
      <c r="AJ32" s="77">
        <v>0</v>
      </c>
      <c r="AK32" s="189">
        <f t="shared" si="46"/>
        <v>0</v>
      </c>
      <c r="AL32" s="77">
        <v>0</v>
      </c>
      <c r="AM32" s="77">
        <v>0</v>
      </c>
      <c r="AN32" s="189">
        <f t="shared" si="47"/>
        <v>0</v>
      </c>
      <c r="AO32" s="55">
        <f t="shared" si="28"/>
        <v>0</v>
      </c>
      <c r="AP32" s="56">
        <f t="shared" si="18"/>
        <v>0</v>
      </c>
      <c r="AQ32" s="179">
        <f t="shared" si="19"/>
        <v>0</v>
      </c>
      <c r="AR32" s="57">
        <f>1586220+1856992</f>
        <v>3443212</v>
      </c>
      <c r="AS32" s="57">
        <f>1347340+1856992</f>
        <v>3204332</v>
      </c>
      <c r="AT32" s="57">
        <f>AR32-AS32</f>
        <v>238880</v>
      </c>
      <c r="AU32" s="56">
        <v>0</v>
      </c>
      <c r="AV32" s="84">
        <v>0</v>
      </c>
      <c r="AW32" s="55">
        <f t="shared" ref="AW32:AW40" si="59">AR32+AU32+AV32</f>
        <v>3443212</v>
      </c>
      <c r="AX32" s="56">
        <f t="shared" si="30"/>
        <v>3204332</v>
      </c>
      <c r="AY32" s="179">
        <f t="shared" si="22"/>
        <v>238880</v>
      </c>
      <c r="AZ32" s="83">
        <v>0</v>
      </c>
      <c r="BA32" s="55">
        <v>0</v>
      </c>
      <c r="BB32" s="56">
        <v>0</v>
      </c>
      <c r="BC32" s="84">
        <f t="shared" si="49"/>
        <v>0</v>
      </c>
      <c r="BD32" s="55">
        <v>0</v>
      </c>
      <c r="BE32" s="263">
        <v>0</v>
      </c>
      <c r="BF32" s="288">
        <f t="shared" si="24"/>
        <v>0</v>
      </c>
      <c r="BG32" s="57">
        <f t="shared" si="50"/>
        <v>3443212</v>
      </c>
      <c r="BH32" s="57">
        <f t="shared" si="31"/>
        <v>3204332</v>
      </c>
      <c r="BI32" s="57">
        <f t="shared" si="32"/>
        <v>238880</v>
      </c>
      <c r="BJ32" s="55">
        <f t="shared" si="52"/>
        <v>0</v>
      </c>
      <c r="BK32" s="56">
        <f t="shared" si="53"/>
        <v>0</v>
      </c>
      <c r="BL32" s="84">
        <f t="shared" si="54"/>
        <v>0</v>
      </c>
      <c r="BM32" s="55">
        <f t="shared" si="55"/>
        <v>3443212</v>
      </c>
      <c r="BN32" s="56">
        <f t="shared" si="56"/>
        <v>3204332</v>
      </c>
      <c r="BO32" s="53">
        <f t="shared" si="57"/>
        <v>238880</v>
      </c>
    </row>
    <row r="33" spans="1:68" x14ac:dyDescent="0.25">
      <c r="A33" s="18"/>
      <c r="B33" s="332" t="s">
        <v>81</v>
      </c>
      <c r="C33" s="56">
        <v>0</v>
      </c>
      <c r="D33" s="56"/>
      <c r="E33" s="56">
        <f t="shared" si="39"/>
        <v>0</v>
      </c>
      <c r="F33" s="56">
        <v>0</v>
      </c>
      <c r="G33" s="56">
        <v>0</v>
      </c>
      <c r="H33" s="84">
        <f t="shared" si="40"/>
        <v>0</v>
      </c>
      <c r="I33" s="55">
        <f t="shared" si="58"/>
        <v>0</v>
      </c>
      <c r="J33" s="55">
        <f t="shared" si="26"/>
        <v>0</v>
      </c>
      <c r="K33" s="179">
        <f t="shared" si="27"/>
        <v>0</v>
      </c>
      <c r="L33" s="57">
        <v>0</v>
      </c>
      <c r="M33" s="57">
        <v>0</v>
      </c>
      <c r="N33" s="53">
        <f t="shared" si="51"/>
        <v>0</v>
      </c>
      <c r="O33" s="57">
        <v>0</v>
      </c>
      <c r="P33" s="57">
        <v>0</v>
      </c>
      <c r="Q33" s="57">
        <f t="shared" si="41"/>
        <v>0</v>
      </c>
      <c r="R33" s="56">
        <v>0</v>
      </c>
      <c r="S33" s="56">
        <v>0</v>
      </c>
      <c r="T33" s="56">
        <f t="shared" si="42"/>
        <v>0</v>
      </c>
      <c r="U33" s="84">
        <v>0</v>
      </c>
      <c r="V33" s="55">
        <f t="shared" si="10"/>
        <v>0</v>
      </c>
      <c r="W33" s="55">
        <f t="shared" si="11"/>
        <v>0</v>
      </c>
      <c r="X33" s="84">
        <f t="shared" si="43"/>
        <v>0</v>
      </c>
      <c r="Y33" s="56">
        <v>0</v>
      </c>
      <c r="Z33" s="56">
        <v>0</v>
      </c>
      <c r="AA33" s="56">
        <f t="shared" si="13"/>
        <v>0</v>
      </c>
      <c r="AB33" s="57"/>
      <c r="AC33" s="84">
        <v>0</v>
      </c>
      <c r="AD33" s="84">
        <v>0</v>
      </c>
      <c r="AE33" s="84">
        <f t="shared" si="44"/>
        <v>0</v>
      </c>
      <c r="AF33" s="56">
        <v>0</v>
      </c>
      <c r="AG33" s="83">
        <v>0</v>
      </c>
      <c r="AH33" s="83">
        <f t="shared" si="45"/>
        <v>0</v>
      </c>
      <c r="AI33" s="77">
        <v>0</v>
      </c>
      <c r="AJ33" s="77">
        <v>0</v>
      </c>
      <c r="AK33" s="189">
        <f t="shared" si="46"/>
        <v>0</v>
      </c>
      <c r="AL33" s="77">
        <v>0</v>
      </c>
      <c r="AM33" s="77">
        <v>0</v>
      </c>
      <c r="AN33" s="189">
        <f t="shared" si="47"/>
        <v>0</v>
      </c>
      <c r="AO33" s="55">
        <f t="shared" si="28"/>
        <v>0</v>
      </c>
      <c r="AP33" s="56">
        <f t="shared" si="18"/>
        <v>0</v>
      </c>
      <c r="AQ33" s="179">
        <f t="shared" si="19"/>
        <v>0</v>
      </c>
      <c r="AR33" s="57">
        <v>0</v>
      </c>
      <c r="AS33" s="57">
        <v>0</v>
      </c>
      <c r="AT33" s="57">
        <f t="shared" ref="AT33:AT43" si="60">AR33-AS33</f>
        <v>0</v>
      </c>
      <c r="AU33" s="56">
        <v>0</v>
      </c>
      <c r="AV33" s="84">
        <v>0</v>
      </c>
      <c r="AW33" s="55">
        <f t="shared" si="59"/>
        <v>0</v>
      </c>
      <c r="AX33" s="56">
        <f t="shared" si="30"/>
        <v>0</v>
      </c>
      <c r="AY33" s="179">
        <f t="shared" si="22"/>
        <v>0</v>
      </c>
      <c r="AZ33" s="83">
        <v>0</v>
      </c>
      <c r="BA33" s="55">
        <v>1364894</v>
      </c>
      <c r="BB33" s="56">
        <v>1364894</v>
      </c>
      <c r="BC33" s="84">
        <f>BA33-BB33</f>
        <v>0</v>
      </c>
      <c r="BD33" s="55">
        <v>0</v>
      </c>
      <c r="BE33" s="263">
        <v>0</v>
      </c>
      <c r="BF33" s="288">
        <f t="shared" si="24"/>
        <v>0</v>
      </c>
      <c r="BG33" s="57">
        <f t="shared" si="50"/>
        <v>1364894</v>
      </c>
      <c r="BH33" s="57">
        <f>J33+M33+W33+AP33+AX33+BE33+BB33</f>
        <v>1364894</v>
      </c>
      <c r="BI33" s="57">
        <f t="shared" si="32"/>
        <v>1364894</v>
      </c>
      <c r="BJ33" s="55">
        <f t="shared" si="52"/>
        <v>0</v>
      </c>
      <c r="BK33" s="56">
        <f t="shared" si="53"/>
        <v>0</v>
      </c>
      <c r="BL33" s="84">
        <f t="shared" si="54"/>
        <v>0</v>
      </c>
      <c r="BM33" s="55">
        <f t="shared" si="55"/>
        <v>1364894</v>
      </c>
      <c r="BN33" s="56">
        <f t="shared" si="56"/>
        <v>1364894</v>
      </c>
      <c r="BO33" s="53">
        <f t="shared" si="57"/>
        <v>1364894</v>
      </c>
    </row>
    <row r="34" spans="1:68" ht="31.5" x14ac:dyDescent="0.25">
      <c r="A34" s="18"/>
      <c r="B34" s="332" t="s">
        <v>82</v>
      </c>
      <c r="C34" s="56">
        <v>0</v>
      </c>
      <c r="D34" s="56">
        <v>0</v>
      </c>
      <c r="E34" s="56">
        <f t="shared" si="39"/>
        <v>0</v>
      </c>
      <c r="F34" s="56">
        <v>0</v>
      </c>
      <c r="G34" s="56">
        <v>0</v>
      </c>
      <c r="H34" s="84">
        <f t="shared" si="40"/>
        <v>0</v>
      </c>
      <c r="I34" s="55">
        <f t="shared" si="58"/>
        <v>0</v>
      </c>
      <c r="J34" s="55">
        <f t="shared" si="26"/>
        <v>0</v>
      </c>
      <c r="K34" s="179">
        <f t="shared" si="27"/>
        <v>0</v>
      </c>
      <c r="L34" s="57">
        <v>0</v>
      </c>
      <c r="M34" s="57">
        <v>0</v>
      </c>
      <c r="N34" s="53">
        <f t="shared" si="51"/>
        <v>0</v>
      </c>
      <c r="O34" s="57">
        <v>0</v>
      </c>
      <c r="P34" s="57">
        <v>0</v>
      </c>
      <c r="Q34" s="57">
        <f t="shared" si="41"/>
        <v>0</v>
      </c>
      <c r="R34" s="56">
        <v>0</v>
      </c>
      <c r="S34" s="56">
        <v>0</v>
      </c>
      <c r="T34" s="56">
        <f t="shared" si="42"/>
        <v>0</v>
      </c>
      <c r="U34" s="84">
        <v>0</v>
      </c>
      <c r="V34" s="55">
        <f t="shared" si="10"/>
        <v>0</v>
      </c>
      <c r="W34" s="55">
        <f t="shared" si="11"/>
        <v>0</v>
      </c>
      <c r="X34" s="84">
        <f t="shared" si="43"/>
        <v>0</v>
      </c>
      <c r="Y34" s="56">
        <v>0</v>
      </c>
      <c r="Z34" s="56">
        <v>0</v>
      </c>
      <c r="AA34" s="56">
        <f t="shared" si="13"/>
        <v>0</v>
      </c>
      <c r="AB34" s="57"/>
      <c r="AC34" s="84">
        <v>0</v>
      </c>
      <c r="AD34" s="84">
        <v>0</v>
      </c>
      <c r="AE34" s="84">
        <f t="shared" si="44"/>
        <v>0</v>
      </c>
      <c r="AF34" s="56">
        <f>1000000+1806701</f>
        <v>2806701</v>
      </c>
      <c r="AG34" s="83">
        <f>1806701+983400</f>
        <v>2790101</v>
      </c>
      <c r="AH34" s="83">
        <f t="shared" si="45"/>
        <v>16600</v>
      </c>
      <c r="AI34" s="77">
        <v>0</v>
      </c>
      <c r="AJ34" s="77">
        <v>0</v>
      </c>
      <c r="AK34" s="189">
        <f t="shared" si="46"/>
        <v>0</v>
      </c>
      <c r="AL34" s="77">
        <v>0</v>
      </c>
      <c r="AM34" s="77">
        <v>0</v>
      </c>
      <c r="AN34" s="189">
        <f t="shared" si="47"/>
        <v>0</v>
      </c>
      <c r="AO34" s="55">
        <f t="shared" si="28"/>
        <v>2806701</v>
      </c>
      <c r="AP34" s="56">
        <f t="shared" si="18"/>
        <v>2790101</v>
      </c>
      <c r="AQ34" s="179">
        <f t="shared" si="19"/>
        <v>16600</v>
      </c>
      <c r="AR34" s="57">
        <v>0</v>
      </c>
      <c r="AS34" s="57">
        <v>0</v>
      </c>
      <c r="AT34" s="57">
        <f t="shared" si="60"/>
        <v>0</v>
      </c>
      <c r="AU34" s="56">
        <v>0</v>
      </c>
      <c r="AV34" s="84">
        <v>0</v>
      </c>
      <c r="AW34" s="55">
        <f t="shared" si="59"/>
        <v>0</v>
      </c>
      <c r="AX34" s="56">
        <f t="shared" si="30"/>
        <v>0</v>
      </c>
      <c r="AY34" s="179">
        <f t="shared" si="22"/>
        <v>0</v>
      </c>
      <c r="AZ34" s="83">
        <v>0</v>
      </c>
      <c r="BA34" s="55">
        <v>0</v>
      </c>
      <c r="BB34" s="56">
        <v>0</v>
      </c>
      <c r="BC34" s="84">
        <f t="shared" si="49"/>
        <v>0</v>
      </c>
      <c r="BD34" s="55">
        <v>0</v>
      </c>
      <c r="BE34" s="263">
        <v>0</v>
      </c>
      <c r="BF34" s="288">
        <f t="shared" si="24"/>
        <v>0</v>
      </c>
      <c r="BG34" s="57">
        <f t="shared" si="50"/>
        <v>2806701</v>
      </c>
      <c r="BH34" s="57">
        <f t="shared" ref="BH34:BH43" si="61">J34+M34+W34+AP34+AX34+BE34+BB34</f>
        <v>2790101</v>
      </c>
      <c r="BI34" s="57">
        <f t="shared" si="32"/>
        <v>16600</v>
      </c>
      <c r="BJ34" s="55">
        <f t="shared" si="52"/>
        <v>2806701</v>
      </c>
      <c r="BK34" s="56">
        <f t="shared" si="53"/>
        <v>2790101</v>
      </c>
      <c r="BL34" s="84">
        <f t="shared" si="54"/>
        <v>16600</v>
      </c>
      <c r="BM34" s="55">
        <f t="shared" si="55"/>
        <v>0</v>
      </c>
      <c r="BN34" s="56">
        <f t="shared" si="56"/>
        <v>0</v>
      </c>
      <c r="BO34" s="53">
        <f t="shared" si="57"/>
        <v>0</v>
      </c>
    </row>
    <row r="35" spans="1:68" x14ac:dyDescent="0.25">
      <c r="A35" s="18"/>
      <c r="B35" s="332" t="s">
        <v>83</v>
      </c>
      <c r="C35" s="56">
        <v>0</v>
      </c>
      <c r="D35" s="56">
        <v>0</v>
      </c>
      <c r="E35" s="56">
        <f t="shared" si="39"/>
        <v>0</v>
      </c>
      <c r="F35" s="56">
        <v>500000</v>
      </c>
      <c r="G35" s="56">
        <v>488230</v>
      </c>
      <c r="H35" s="84">
        <f t="shared" si="40"/>
        <v>11770</v>
      </c>
      <c r="I35" s="55">
        <f t="shared" si="58"/>
        <v>500000</v>
      </c>
      <c r="J35" s="55">
        <f>D35+G35</f>
        <v>488230</v>
      </c>
      <c r="K35" s="179">
        <f t="shared" si="27"/>
        <v>11770</v>
      </c>
      <c r="L35" s="57">
        <v>0</v>
      </c>
      <c r="M35" s="57">
        <v>0</v>
      </c>
      <c r="N35" s="53">
        <f t="shared" si="51"/>
        <v>0</v>
      </c>
      <c r="O35" s="57">
        <v>0</v>
      </c>
      <c r="P35" s="57">
        <v>0</v>
      </c>
      <c r="Q35" s="57">
        <f t="shared" si="41"/>
        <v>0</v>
      </c>
      <c r="R35" s="56">
        <v>0</v>
      </c>
      <c r="S35" s="56">
        <v>0</v>
      </c>
      <c r="T35" s="56">
        <f t="shared" si="42"/>
        <v>0</v>
      </c>
      <c r="U35" s="84">
        <v>0</v>
      </c>
      <c r="V35" s="55">
        <f t="shared" si="10"/>
        <v>0</v>
      </c>
      <c r="W35" s="55">
        <f t="shared" si="11"/>
        <v>0</v>
      </c>
      <c r="X35" s="84">
        <f t="shared" si="43"/>
        <v>0</v>
      </c>
      <c r="Y35" s="56">
        <v>0</v>
      </c>
      <c r="Z35" s="56">
        <v>0</v>
      </c>
      <c r="AA35" s="56">
        <f t="shared" si="13"/>
        <v>0</v>
      </c>
      <c r="AB35" s="57"/>
      <c r="AC35" s="84">
        <v>0</v>
      </c>
      <c r="AD35" s="84">
        <v>0</v>
      </c>
      <c r="AE35" s="84">
        <f t="shared" si="44"/>
        <v>0</v>
      </c>
      <c r="AF35" s="56">
        <v>0</v>
      </c>
      <c r="AG35" s="83">
        <v>0</v>
      </c>
      <c r="AH35" s="83">
        <f t="shared" si="45"/>
        <v>0</v>
      </c>
      <c r="AI35" s="77">
        <v>0</v>
      </c>
      <c r="AJ35" s="77"/>
      <c r="AK35" s="189">
        <f t="shared" si="46"/>
        <v>0</v>
      </c>
      <c r="AL35" s="77">
        <v>0</v>
      </c>
      <c r="AM35" s="77">
        <v>0</v>
      </c>
      <c r="AN35" s="189">
        <f t="shared" si="47"/>
        <v>0</v>
      </c>
      <c r="AO35" s="55">
        <f t="shared" si="28"/>
        <v>0</v>
      </c>
      <c r="AP35" s="56">
        <f t="shared" si="18"/>
        <v>0</v>
      </c>
      <c r="AQ35" s="179">
        <f t="shared" si="19"/>
        <v>0</v>
      </c>
      <c r="AR35" s="57">
        <v>0</v>
      </c>
      <c r="AS35" s="57">
        <v>0</v>
      </c>
      <c r="AT35" s="57">
        <f t="shared" si="60"/>
        <v>0</v>
      </c>
      <c r="AU35" s="56">
        <v>0</v>
      </c>
      <c r="AV35" s="84">
        <v>0</v>
      </c>
      <c r="AW35" s="55">
        <f t="shared" si="59"/>
        <v>0</v>
      </c>
      <c r="AX35" s="56">
        <f t="shared" si="30"/>
        <v>0</v>
      </c>
      <c r="AY35" s="179">
        <f t="shared" si="22"/>
        <v>0</v>
      </c>
      <c r="AZ35" s="83">
        <v>0</v>
      </c>
      <c r="BA35" s="55">
        <v>0</v>
      </c>
      <c r="BB35" s="56">
        <v>0</v>
      </c>
      <c r="BC35" s="84">
        <f t="shared" si="49"/>
        <v>0</v>
      </c>
      <c r="BD35" s="55">
        <v>0</v>
      </c>
      <c r="BE35" s="263">
        <v>0</v>
      </c>
      <c r="BF35" s="288">
        <f t="shared" si="24"/>
        <v>0</v>
      </c>
      <c r="BG35" s="57">
        <f t="shared" si="50"/>
        <v>500000</v>
      </c>
      <c r="BH35" s="57">
        <f t="shared" si="61"/>
        <v>488230</v>
      </c>
      <c r="BI35" s="57">
        <f t="shared" ref="BI35:BI43" si="62">K35+N35+X35+AQ35+AY35+BB35+BF35+BC35</f>
        <v>11770</v>
      </c>
      <c r="BJ35" s="55">
        <f t="shared" si="52"/>
        <v>0</v>
      </c>
      <c r="BK35" s="56">
        <f t="shared" si="53"/>
        <v>0</v>
      </c>
      <c r="BL35" s="84">
        <f t="shared" si="54"/>
        <v>0</v>
      </c>
      <c r="BM35" s="55">
        <f t="shared" si="55"/>
        <v>500000</v>
      </c>
      <c r="BN35" s="56">
        <f t="shared" si="56"/>
        <v>488230</v>
      </c>
      <c r="BO35" s="53">
        <f t="shared" si="57"/>
        <v>11770</v>
      </c>
    </row>
    <row r="36" spans="1:68" s="331" customFormat="1" x14ac:dyDescent="0.25">
      <c r="A36" s="18"/>
      <c r="B36" s="332" t="s">
        <v>84</v>
      </c>
      <c r="C36" s="56">
        <v>0</v>
      </c>
      <c r="D36" s="56">
        <v>0</v>
      </c>
      <c r="E36" s="56">
        <f t="shared" si="39"/>
        <v>0</v>
      </c>
      <c r="F36" s="56">
        <v>0</v>
      </c>
      <c r="G36" s="56">
        <v>0</v>
      </c>
      <c r="H36" s="84">
        <f t="shared" si="40"/>
        <v>0</v>
      </c>
      <c r="I36" s="55">
        <f t="shared" si="58"/>
        <v>0</v>
      </c>
      <c r="J36" s="55">
        <f t="shared" si="58"/>
        <v>0</v>
      </c>
      <c r="K36" s="179">
        <f t="shared" si="27"/>
        <v>0</v>
      </c>
      <c r="L36" s="57">
        <v>0</v>
      </c>
      <c r="M36" s="57">
        <v>0</v>
      </c>
      <c r="N36" s="53">
        <f t="shared" si="51"/>
        <v>0</v>
      </c>
      <c r="O36" s="57">
        <v>0</v>
      </c>
      <c r="P36" s="57">
        <v>0</v>
      </c>
      <c r="Q36" s="57">
        <f t="shared" si="41"/>
        <v>0</v>
      </c>
      <c r="R36" s="56">
        <v>0</v>
      </c>
      <c r="S36" s="56">
        <v>0</v>
      </c>
      <c r="T36" s="56">
        <f t="shared" si="42"/>
        <v>0</v>
      </c>
      <c r="U36" s="84">
        <v>0</v>
      </c>
      <c r="V36" s="55">
        <f t="shared" si="10"/>
        <v>0</v>
      </c>
      <c r="W36" s="55">
        <f t="shared" si="11"/>
        <v>0</v>
      </c>
      <c r="X36" s="84">
        <f t="shared" si="43"/>
        <v>0</v>
      </c>
      <c r="Y36" s="56">
        <v>0</v>
      </c>
      <c r="Z36" s="56">
        <v>0</v>
      </c>
      <c r="AA36" s="56">
        <f t="shared" si="13"/>
        <v>0</v>
      </c>
      <c r="AB36" s="57"/>
      <c r="AC36" s="84">
        <v>0</v>
      </c>
      <c r="AD36" s="84">
        <v>0</v>
      </c>
      <c r="AE36" s="84">
        <f t="shared" si="44"/>
        <v>0</v>
      </c>
      <c r="AF36" s="56">
        <v>0</v>
      </c>
      <c r="AG36" s="57">
        <v>0</v>
      </c>
      <c r="AH36" s="83">
        <f t="shared" si="45"/>
        <v>0</v>
      </c>
      <c r="AI36" s="77">
        <v>3171595</v>
      </c>
      <c r="AJ36" s="77">
        <v>3171595</v>
      </c>
      <c r="AK36" s="189">
        <f t="shared" si="46"/>
        <v>0</v>
      </c>
      <c r="AL36" s="77">
        <v>0</v>
      </c>
      <c r="AM36" s="77">
        <v>0</v>
      </c>
      <c r="AN36" s="189">
        <f t="shared" si="47"/>
        <v>0</v>
      </c>
      <c r="AO36" s="55">
        <f t="shared" si="28"/>
        <v>3171595</v>
      </c>
      <c r="AP36" s="56">
        <f t="shared" si="18"/>
        <v>3171595</v>
      </c>
      <c r="AQ36" s="179">
        <f t="shared" si="19"/>
        <v>0</v>
      </c>
      <c r="AR36" s="57">
        <v>0</v>
      </c>
      <c r="AS36" s="57">
        <v>0</v>
      </c>
      <c r="AT36" s="57">
        <f t="shared" si="60"/>
        <v>0</v>
      </c>
      <c r="AU36" s="56">
        <v>0</v>
      </c>
      <c r="AV36" s="84">
        <v>0</v>
      </c>
      <c r="AW36" s="55">
        <f t="shared" si="59"/>
        <v>0</v>
      </c>
      <c r="AX36" s="56">
        <f t="shared" si="30"/>
        <v>0</v>
      </c>
      <c r="AY36" s="179">
        <f t="shared" si="22"/>
        <v>0</v>
      </c>
      <c r="AZ36" s="83">
        <v>0</v>
      </c>
      <c r="BA36" s="55">
        <v>0</v>
      </c>
      <c r="BB36" s="56">
        <v>0</v>
      </c>
      <c r="BC36" s="84">
        <f t="shared" si="49"/>
        <v>0</v>
      </c>
      <c r="BD36" s="55">
        <v>0</v>
      </c>
      <c r="BE36" s="263">
        <v>0</v>
      </c>
      <c r="BF36" s="288">
        <f t="shared" si="24"/>
        <v>0</v>
      </c>
      <c r="BG36" s="57">
        <f t="shared" si="50"/>
        <v>3171595</v>
      </c>
      <c r="BH36" s="57">
        <f t="shared" si="61"/>
        <v>3171595</v>
      </c>
      <c r="BI36" s="57">
        <f t="shared" si="62"/>
        <v>0</v>
      </c>
      <c r="BJ36" s="55">
        <f t="shared" si="52"/>
        <v>0</v>
      </c>
      <c r="BK36" s="56">
        <f t="shared" si="53"/>
        <v>0</v>
      </c>
      <c r="BL36" s="84">
        <f t="shared" si="54"/>
        <v>0</v>
      </c>
      <c r="BM36" s="55">
        <f t="shared" si="55"/>
        <v>3171595</v>
      </c>
      <c r="BN36" s="56">
        <f t="shared" si="56"/>
        <v>3171595</v>
      </c>
      <c r="BO36" s="53">
        <f t="shared" si="57"/>
        <v>0</v>
      </c>
    </row>
    <row r="37" spans="1:68" s="331" customFormat="1" x14ac:dyDescent="0.25">
      <c r="A37" s="18"/>
      <c r="B37" s="332" t="s">
        <v>85</v>
      </c>
      <c r="C37" s="56">
        <v>0</v>
      </c>
      <c r="D37" s="56">
        <v>0</v>
      </c>
      <c r="E37" s="56">
        <f t="shared" si="39"/>
        <v>0</v>
      </c>
      <c r="F37" s="56">
        <v>0</v>
      </c>
      <c r="G37" s="56">
        <v>0</v>
      </c>
      <c r="H37" s="84">
        <f t="shared" si="40"/>
        <v>0</v>
      </c>
      <c r="I37" s="55">
        <f t="shared" si="58"/>
        <v>0</v>
      </c>
      <c r="J37" s="55">
        <f t="shared" si="58"/>
        <v>0</v>
      </c>
      <c r="K37" s="179">
        <f t="shared" si="27"/>
        <v>0</v>
      </c>
      <c r="L37" s="57">
        <v>0</v>
      </c>
      <c r="M37" s="57">
        <v>0</v>
      </c>
      <c r="N37" s="53">
        <f t="shared" si="51"/>
        <v>0</v>
      </c>
      <c r="O37" s="57">
        <v>0</v>
      </c>
      <c r="P37" s="57">
        <v>0</v>
      </c>
      <c r="Q37" s="57">
        <f t="shared" si="41"/>
        <v>0</v>
      </c>
      <c r="R37" s="56">
        <v>0</v>
      </c>
      <c r="S37" s="56">
        <v>0</v>
      </c>
      <c r="T37" s="56">
        <f t="shared" si="42"/>
        <v>0</v>
      </c>
      <c r="U37" s="84">
        <v>0</v>
      </c>
      <c r="V37" s="55">
        <f t="shared" si="10"/>
        <v>0</v>
      </c>
      <c r="W37" s="55">
        <f t="shared" si="11"/>
        <v>0</v>
      </c>
      <c r="X37" s="84">
        <f t="shared" si="43"/>
        <v>0</v>
      </c>
      <c r="Y37" s="56">
        <v>0</v>
      </c>
      <c r="Z37" s="56">
        <v>0</v>
      </c>
      <c r="AA37" s="56">
        <f t="shared" si="13"/>
        <v>0</v>
      </c>
      <c r="AB37" s="57"/>
      <c r="AC37" s="84">
        <v>1174545</v>
      </c>
      <c r="AD37" s="84">
        <v>1174545</v>
      </c>
      <c r="AE37" s="84">
        <f t="shared" si="44"/>
        <v>0</v>
      </c>
      <c r="AF37" s="56">
        <v>0</v>
      </c>
      <c r="AG37" s="57">
        <v>0</v>
      </c>
      <c r="AH37" s="83">
        <f t="shared" si="45"/>
        <v>0</v>
      </c>
      <c r="AI37" s="77">
        <v>0</v>
      </c>
      <c r="AJ37" s="77">
        <v>0</v>
      </c>
      <c r="AK37" s="189">
        <f t="shared" si="46"/>
        <v>0</v>
      </c>
      <c r="AL37" s="77">
        <v>0</v>
      </c>
      <c r="AM37" s="77">
        <v>0</v>
      </c>
      <c r="AN37" s="189">
        <f t="shared" si="47"/>
        <v>0</v>
      </c>
      <c r="AO37" s="55">
        <f t="shared" si="28"/>
        <v>1174545</v>
      </c>
      <c r="AP37" s="56">
        <f t="shared" si="18"/>
        <v>1174545</v>
      </c>
      <c r="AQ37" s="179">
        <f t="shared" si="19"/>
        <v>0</v>
      </c>
      <c r="AR37" s="57">
        <v>0</v>
      </c>
      <c r="AS37" s="57">
        <v>0</v>
      </c>
      <c r="AT37" s="57">
        <f t="shared" si="60"/>
        <v>0</v>
      </c>
      <c r="AU37" s="56">
        <v>0</v>
      </c>
      <c r="AV37" s="84">
        <v>0</v>
      </c>
      <c r="AW37" s="55">
        <f t="shared" si="59"/>
        <v>0</v>
      </c>
      <c r="AX37" s="56">
        <f t="shared" si="30"/>
        <v>0</v>
      </c>
      <c r="AY37" s="179">
        <f t="shared" si="22"/>
        <v>0</v>
      </c>
      <c r="AZ37" s="83">
        <v>0</v>
      </c>
      <c r="BA37" s="55">
        <v>0</v>
      </c>
      <c r="BB37" s="56">
        <v>0</v>
      </c>
      <c r="BC37" s="84">
        <f t="shared" si="49"/>
        <v>0</v>
      </c>
      <c r="BD37" s="55">
        <v>0</v>
      </c>
      <c r="BE37" s="263">
        <v>0</v>
      </c>
      <c r="BF37" s="288">
        <f t="shared" si="24"/>
        <v>0</v>
      </c>
      <c r="BG37" s="57">
        <f t="shared" si="50"/>
        <v>1174545</v>
      </c>
      <c r="BH37" s="57">
        <f t="shared" si="61"/>
        <v>1174545</v>
      </c>
      <c r="BI37" s="57">
        <f t="shared" si="62"/>
        <v>0</v>
      </c>
      <c r="BJ37" s="55">
        <f t="shared" si="52"/>
        <v>0</v>
      </c>
      <c r="BK37" s="56">
        <f t="shared" si="53"/>
        <v>0</v>
      </c>
      <c r="BL37" s="84">
        <f t="shared" si="54"/>
        <v>0</v>
      </c>
      <c r="BM37" s="55">
        <f t="shared" si="55"/>
        <v>1174545</v>
      </c>
      <c r="BN37" s="56">
        <f t="shared" si="56"/>
        <v>1174545</v>
      </c>
      <c r="BO37" s="53">
        <f t="shared" si="57"/>
        <v>0</v>
      </c>
    </row>
    <row r="38" spans="1:68" s="331" customFormat="1" x14ac:dyDescent="0.25">
      <c r="A38" s="18"/>
      <c r="B38" s="332" t="s">
        <v>86</v>
      </c>
      <c r="C38" s="333"/>
      <c r="D38" s="56">
        <v>0</v>
      </c>
      <c r="E38" s="56">
        <f t="shared" si="39"/>
        <v>0</v>
      </c>
      <c r="F38" s="333"/>
      <c r="G38" s="56">
        <v>0</v>
      </c>
      <c r="H38" s="84">
        <f t="shared" si="40"/>
        <v>0</v>
      </c>
      <c r="I38" s="55">
        <f t="shared" si="58"/>
        <v>0</v>
      </c>
      <c r="J38" s="55">
        <f t="shared" si="58"/>
        <v>0</v>
      </c>
      <c r="K38" s="179">
        <f t="shared" si="27"/>
        <v>0</v>
      </c>
      <c r="L38" s="57">
        <v>0</v>
      </c>
      <c r="M38" s="57">
        <v>0</v>
      </c>
      <c r="N38" s="53">
        <f t="shared" si="51"/>
        <v>0</v>
      </c>
      <c r="O38" s="57">
        <v>0</v>
      </c>
      <c r="P38" s="57">
        <v>0</v>
      </c>
      <c r="Q38" s="57">
        <f t="shared" si="41"/>
        <v>0</v>
      </c>
      <c r="R38" s="56">
        <v>0</v>
      </c>
      <c r="S38" s="56">
        <v>0</v>
      </c>
      <c r="T38" s="56">
        <f t="shared" si="42"/>
        <v>0</v>
      </c>
      <c r="U38" s="84">
        <v>0</v>
      </c>
      <c r="V38" s="55">
        <f t="shared" si="10"/>
        <v>0</v>
      </c>
      <c r="W38" s="55">
        <f t="shared" si="11"/>
        <v>0</v>
      </c>
      <c r="X38" s="84">
        <f t="shared" si="43"/>
        <v>0</v>
      </c>
      <c r="Y38" s="56">
        <v>2605499</v>
      </c>
      <c r="Z38" s="56">
        <v>2605499</v>
      </c>
      <c r="AA38" s="56">
        <f t="shared" si="13"/>
        <v>0</v>
      </c>
      <c r="AB38" s="57"/>
      <c r="AC38" s="83">
        <v>0</v>
      </c>
      <c r="AD38" s="83">
        <v>0</v>
      </c>
      <c r="AE38" s="84">
        <f t="shared" si="44"/>
        <v>0</v>
      </c>
      <c r="AF38" s="56">
        <v>0</v>
      </c>
      <c r="AG38" s="57">
        <v>0</v>
      </c>
      <c r="AH38" s="83">
        <f t="shared" si="45"/>
        <v>0</v>
      </c>
      <c r="AI38" s="77">
        <v>0</v>
      </c>
      <c r="AJ38" s="77">
        <v>0</v>
      </c>
      <c r="AK38" s="189">
        <f t="shared" si="46"/>
        <v>0</v>
      </c>
      <c r="AL38" s="77">
        <v>0</v>
      </c>
      <c r="AM38" s="77">
        <v>0</v>
      </c>
      <c r="AN38" s="189">
        <f t="shared" si="47"/>
        <v>0</v>
      </c>
      <c r="AO38" s="55">
        <f t="shared" si="28"/>
        <v>2605499</v>
      </c>
      <c r="AP38" s="56">
        <f t="shared" si="18"/>
        <v>2605499</v>
      </c>
      <c r="AQ38" s="179">
        <f t="shared" si="19"/>
        <v>0</v>
      </c>
      <c r="AR38" s="57">
        <v>0</v>
      </c>
      <c r="AS38" s="57">
        <v>0</v>
      </c>
      <c r="AT38" s="57">
        <f t="shared" si="60"/>
        <v>0</v>
      </c>
      <c r="AU38" s="56">
        <v>0</v>
      </c>
      <c r="AV38" s="84">
        <v>0</v>
      </c>
      <c r="AW38" s="55">
        <f t="shared" si="59"/>
        <v>0</v>
      </c>
      <c r="AX38" s="56">
        <f t="shared" si="30"/>
        <v>0</v>
      </c>
      <c r="AY38" s="179">
        <f t="shared" si="22"/>
        <v>0</v>
      </c>
      <c r="AZ38" s="83">
        <v>0</v>
      </c>
      <c r="BA38" s="55">
        <v>0</v>
      </c>
      <c r="BB38" s="56">
        <v>0</v>
      </c>
      <c r="BC38" s="84">
        <f t="shared" si="49"/>
        <v>0</v>
      </c>
      <c r="BD38" s="55">
        <v>0</v>
      </c>
      <c r="BE38" s="263">
        <v>0</v>
      </c>
      <c r="BF38" s="288">
        <f t="shared" si="24"/>
        <v>0</v>
      </c>
      <c r="BG38" s="57">
        <f t="shared" si="50"/>
        <v>2605499</v>
      </c>
      <c r="BH38" s="57">
        <f t="shared" si="61"/>
        <v>2605499</v>
      </c>
      <c r="BI38" s="57">
        <f t="shared" si="62"/>
        <v>0</v>
      </c>
      <c r="BJ38" s="55">
        <f t="shared" si="52"/>
        <v>0</v>
      </c>
      <c r="BK38" s="56">
        <f t="shared" si="53"/>
        <v>0</v>
      </c>
      <c r="BL38" s="84">
        <f t="shared" si="54"/>
        <v>0</v>
      </c>
      <c r="BM38" s="55">
        <f t="shared" si="55"/>
        <v>2605499</v>
      </c>
      <c r="BN38" s="56">
        <f t="shared" si="56"/>
        <v>2605499</v>
      </c>
      <c r="BO38" s="53">
        <f t="shared" si="57"/>
        <v>0</v>
      </c>
    </row>
    <row r="39" spans="1:68" s="331" customFormat="1" x14ac:dyDescent="0.25">
      <c r="A39" s="18"/>
      <c r="B39" s="332" t="s">
        <v>88</v>
      </c>
      <c r="C39" s="56">
        <v>391515</v>
      </c>
      <c r="D39" s="56">
        <v>391515</v>
      </c>
      <c r="E39" s="56">
        <f t="shared" si="39"/>
        <v>0</v>
      </c>
      <c r="F39" s="56">
        <v>391515</v>
      </c>
      <c r="G39" s="56">
        <v>391515</v>
      </c>
      <c r="H39" s="84">
        <f t="shared" si="40"/>
        <v>0</v>
      </c>
      <c r="I39" s="55">
        <f t="shared" si="58"/>
        <v>783030</v>
      </c>
      <c r="J39" s="55">
        <f t="shared" si="58"/>
        <v>783030</v>
      </c>
      <c r="K39" s="179">
        <f t="shared" si="27"/>
        <v>0</v>
      </c>
      <c r="L39" s="57">
        <v>0</v>
      </c>
      <c r="M39" s="57">
        <v>0</v>
      </c>
      <c r="N39" s="53">
        <f t="shared" si="51"/>
        <v>0</v>
      </c>
      <c r="O39" s="57">
        <v>0</v>
      </c>
      <c r="P39" s="57">
        <v>0</v>
      </c>
      <c r="Q39" s="57">
        <f t="shared" si="41"/>
        <v>0</v>
      </c>
      <c r="R39" s="56">
        <v>0</v>
      </c>
      <c r="S39" s="56">
        <v>0</v>
      </c>
      <c r="T39" s="56">
        <f t="shared" si="42"/>
        <v>0</v>
      </c>
      <c r="U39" s="84">
        <v>0</v>
      </c>
      <c r="V39" s="55">
        <f t="shared" si="10"/>
        <v>0</v>
      </c>
      <c r="W39" s="55">
        <f t="shared" si="11"/>
        <v>0</v>
      </c>
      <c r="X39" s="84">
        <f t="shared" si="43"/>
        <v>0</v>
      </c>
      <c r="Y39" s="56">
        <v>0</v>
      </c>
      <c r="Z39" s="56">
        <v>0</v>
      </c>
      <c r="AA39" s="56">
        <f t="shared" si="13"/>
        <v>0</v>
      </c>
      <c r="AB39" s="57"/>
      <c r="AC39" s="83">
        <v>0</v>
      </c>
      <c r="AD39" s="83">
        <v>0</v>
      </c>
      <c r="AE39" s="84">
        <f t="shared" si="44"/>
        <v>0</v>
      </c>
      <c r="AF39" s="56">
        <v>0</v>
      </c>
      <c r="AG39" s="57">
        <v>0</v>
      </c>
      <c r="AH39" s="83">
        <f t="shared" si="45"/>
        <v>0</v>
      </c>
      <c r="AI39" s="77">
        <v>0</v>
      </c>
      <c r="AJ39" s="77">
        <v>0</v>
      </c>
      <c r="AK39" s="189">
        <f t="shared" si="46"/>
        <v>0</v>
      </c>
      <c r="AL39" s="77">
        <v>0</v>
      </c>
      <c r="AM39" s="77">
        <v>0</v>
      </c>
      <c r="AN39" s="189">
        <f t="shared" si="47"/>
        <v>0</v>
      </c>
      <c r="AO39" s="55">
        <f t="shared" si="28"/>
        <v>0</v>
      </c>
      <c r="AP39" s="56">
        <f t="shared" si="18"/>
        <v>0</v>
      </c>
      <c r="AQ39" s="179">
        <f t="shared" si="19"/>
        <v>0</v>
      </c>
      <c r="AR39" s="57">
        <v>0</v>
      </c>
      <c r="AS39" s="57">
        <v>0</v>
      </c>
      <c r="AT39" s="57">
        <f t="shared" si="60"/>
        <v>0</v>
      </c>
      <c r="AU39" s="56">
        <v>0</v>
      </c>
      <c r="AV39" s="84">
        <v>0</v>
      </c>
      <c r="AW39" s="55">
        <f t="shared" si="59"/>
        <v>0</v>
      </c>
      <c r="AX39" s="56">
        <f t="shared" si="30"/>
        <v>0</v>
      </c>
      <c r="AY39" s="179">
        <f t="shared" si="22"/>
        <v>0</v>
      </c>
      <c r="AZ39" s="83">
        <v>0</v>
      </c>
      <c r="BA39" s="55">
        <v>0</v>
      </c>
      <c r="BB39" s="56">
        <v>0</v>
      </c>
      <c r="BC39" s="84">
        <f t="shared" si="49"/>
        <v>0</v>
      </c>
      <c r="BD39" s="55">
        <v>0</v>
      </c>
      <c r="BE39" s="263">
        <v>0</v>
      </c>
      <c r="BF39" s="288">
        <f t="shared" si="24"/>
        <v>0</v>
      </c>
      <c r="BG39" s="57">
        <f t="shared" si="50"/>
        <v>783030</v>
      </c>
      <c r="BH39" s="57">
        <f t="shared" si="61"/>
        <v>783030</v>
      </c>
      <c r="BI39" s="57">
        <f t="shared" si="62"/>
        <v>0</v>
      </c>
      <c r="BJ39" s="55">
        <f t="shared" si="52"/>
        <v>0</v>
      </c>
      <c r="BK39" s="56">
        <f t="shared" si="53"/>
        <v>0</v>
      </c>
      <c r="BL39" s="84">
        <f t="shared" si="54"/>
        <v>0</v>
      </c>
      <c r="BM39" s="55">
        <f t="shared" si="55"/>
        <v>783030</v>
      </c>
      <c r="BN39" s="56">
        <f t="shared" si="56"/>
        <v>783030</v>
      </c>
      <c r="BO39" s="53">
        <f t="shared" si="57"/>
        <v>0</v>
      </c>
    </row>
    <row r="40" spans="1:68" s="331" customFormat="1" x14ac:dyDescent="0.25">
      <c r="A40" s="18"/>
      <c r="B40" s="332" t="s">
        <v>89</v>
      </c>
      <c r="C40" s="56">
        <v>0</v>
      </c>
      <c r="D40" s="56">
        <v>0</v>
      </c>
      <c r="E40" s="56">
        <f>C377-D40</f>
        <v>0</v>
      </c>
      <c r="F40" s="56">
        <v>0</v>
      </c>
      <c r="G40" s="56">
        <v>0</v>
      </c>
      <c r="H40" s="84">
        <f t="shared" si="40"/>
        <v>0</v>
      </c>
      <c r="I40" s="55">
        <f t="shared" si="58"/>
        <v>0</v>
      </c>
      <c r="J40" s="55">
        <f t="shared" si="58"/>
        <v>0</v>
      </c>
      <c r="K40" s="179">
        <f t="shared" si="27"/>
        <v>0</v>
      </c>
      <c r="L40" s="57">
        <v>0</v>
      </c>
      <c r="M40" s="57">
        <v>0</v>
      </c>
      <c r="N40" s="53">
        <f t="shared" si="51"/>
        <v>0</v>
      </c>
      <c r="O40" s="57">
        <v>0</v>
      </c>
      <c r="P40" s="57">
        <v>0</v>
      </c>
      <c r="Q40" s="57">
        <f t="shared" si="41"/>
        <v>0</v>
      </c>
      <c r="R40" s="56">
        <v>0</v>
      </c>
      <c r="S40" s="56">
        <v>0</v>
      </c>
      <c r="T40" s="56">
        <f t="shared" si="42"/>
        <v>0</v>
      </c>
      <c r="U40" s="84">
        <v>0</v>
      </c>
      <c r="V40" s="55">
        <f t="shared" si="10"/>
        <v>0</v>
      </c>
      <c r="W40" s="55">
        <f t="shared" si="11"/>
        <v>0</v>
      </c>
      <c r="X40" s="84">
        <f t="shared" si="43"/>
        <v>0</v>
      </c>
      <c r="Y40" s="56">
        <f>1160000+1925000+2185000</f>
        <v>5270000</v>
      </c>
      <c r="Z40" s="56">
        <v>4463780</v>
      </c>
      <c r="AA40" s="56">
        <f t="shared" si="13"/>
        <v>806220</v>
      </c>
      <c r="AB40" s="57"/>
      <c r="AC40" s="84">
        <v>0</v>
      </c>
      <c r="AD40" s="84">
        <v>0</v>
      </c>
      <c r="AE40" s="84">
        <f t="shared" si="44"/>
        <v>0</v>
      </c>
      <c r="AF40" s="56">
        <v>0</v>
      </c>
      <c r="AG40" s="57">
        <v>0</v>
      </c>
      <c r="AH40" s="83">
        <f t="shared" si="45"/>
        <v>0</v>
      </c>
      <c r="AI40" s="77">
        <v>0</v>
      </c>
      <c r="AJ40" s="77">
        <v>0</v>
      </c>
      <c r="AK40" s="189">
        <f t="shared" si="46"/>
        <v>0</v>
      </c>
      <c r="AL40" s="77">
        <v>0</v>
      </c>
      <c r="AM40" s="77">
        <v>0</v>
      </c>
      <c r="AN40" s="189">
        <f t="shared" si="47"/>
        <v>0</v>
      </c>
      <c r="AO40" s="55">
        <f t="shared" si="28"/>
        <v>5270000</v>
      </c>
      <c r="AP40" s="56">
        <f t="shared" si="18"/>
        <v>4463780</v>
      </c>
      <c r="AQ40" s="179">
        <f t="shared" si="19"/>
        <v>806220</v>
      </c>
      <c r="AR40" s="57">
        <v>0</v>
      </c>
      <c r="AS40" s="57">
        <v>0</v>
      </c>
      <c r="AT40" s="57">
        <f t="shared" si="60"/>
        <v>0</v>
      </c>
      <c r="AU40" s="56">
        <v>0</v>
      </c>
      <c r="AV40" s="84">
        <v>0</v>
      </c>
      <c r="AW40" s="55">
        <f t="shared" si="59"/>
        <v>0</v>
      </c>
      <c r="AX40" s="56">
        <f>AS40</f>
        <v>0</v>
      </c>
      <c r="AY40" s="179">
        <f t="shared" si="22"/>
        <v>0</v>
      </c>
      <c r="AZ40" s="83">
        <v>0</v>
      </c>
      <c r="BA40" s="55">
        <v>0</v>
      </c>
      <c r="BB40" s="56">
        <v>0</v>
      </c>
      <c r="BC40" s="84">
        <f t="shared" si="49"/>
        <v>0</v>
      </c>
      <c r="BD40" s="55">
        <v>0</v>
      </c>
      <c r="BE40" s="263">
        <v>0</v>
      </c>
      <c r="BF40" s="288">
        <f t="shared" si="24"/>
        <v>0</v>
      </c>
      <c r="BG40" s="57">
        <f t="shared" si="50"/>
        <v>5270000</v>
      </c>
      <c r="BH40" s="57">
        <f t="shared" si="61"/>
        <v>4463780</v>
      </c>
      <c r="BI40" s="57">
        <f t="shared" si="62"/>
        <v>806220</v>
      </c>
      <c r="BJ40" s="55">
        <f t="shared" si="52"/>
        <v>0</v>
      </c>
      <c r="BK40" s="56">
        <f t="shared" si="53"/>
        <v>0</v>
      </c>
      <c r="BL40" s="84">
        <f t="shared" si="54"/>
        <v>0</v>
      </c>
      <c r="BM40" s="55">
        <f t="shared" si="55"/>
        <v>5270000</v>
      </c>
      <c r="BN40" s="56">
        <f t="shared" si="56"/>
        <v>4463780</v>
      </c>
      <c r="BO40" s="53">
        <f t="shared" si="57"/>
        <v>806220</v>
      </c>
    </row>
    <row r="41" spans="1:68" s="331" customFormat="1" x14ac:dyDescent="0.25">
      <c r="A41" s="18"/>
      <c r="B41" s="332" t="s">
        <v>90</v>
      </c>
      <c r="C41" s="56">
        <v>0</v>
      </c>
      <c r="D41" s="56">
        <v>0</v>
      </c>
      <c r="E41" s="56">
        <f t="shared" si="39"/>
        <v>0</v>
      </c>
      <c r="F41" s="56"/>
      <c r="G41" s="56">
        <v>0</v>
      </c>
      <c r="H41" s="84">
        <f t="shared" si="40"/>
        <v>0</v>
      </c>
      <c r="I41" s="55">
        <f t="shared" si="58"/>
        <v>0</v>
      </c>
      <c r="J41" s="55">
        <f t="shared" si="58"/>
        <v>0</v>
      </c>
      <c r="K41" s="179">
        <f t="shared" si="27"/>
        <v>0</v>
      </c>
      <c r="L41" s="57">
        <v>0</v>
      </c>
      <c r="M41" s="57">
        <v>0</v>
      </c>
      <c r="N41" s="53">
        <f t="shared" si="51"/>
        <v>0</v>
      </c>
      <c r="O41" s="57">
        <v>0</v>
      </c>
      <c r="P41" s="57">
        <v>0</v>
      </c>
      <c r="Q41" s="57">
        <f t="shared" si="41"/>
        <v>0</v>
      </c>
      <c r="R41" s="56">
        <v>0</v>
      </c>
      <c r="S41" s="56">
        <v>0</v>
      </c>
      <c r="T41" s="56">
        <f t="shared" si="42"/>
        <v>0</v>
      </c>
      <c r="U41" s="84"/>
      <c r="V41" s="55">
        <v>0</v>
      </c>
      <c r="W41" s="55">
        <f t="shared" si="11"/>
        <v>0</v>
      </c>
      <c r="X41" s="84">
        <f t="shared" si="43"/>
        <v>0</v>
      </c>
      <c r="Y41" s="56">
        <v>0</v>
      </c>
      <c r="Z41" s="56">
        <v>0</v>
      </c>
      <c r="AA41" s="56">
        <f t="shared" si="13"/>
        <v>0</v>
      </c>
      <c r="AB41" s="57"/>
      <c r="AC41" s="84">
        <v>3764036</v>
      </c>
      <c r="AD41" s="84">
        <v>0</v>
      </c>
      <c r="AE41" s="84">
        <f t="shared" si="44"/>
        <v>3764036</v>
      </c>
      <c r="AF41" s="56">
        <v>0</v>
      </c>
      <c r="AG41" s="57">
        <v>0</v>
      </c>
      <c r="AH41" s="83">
        <f t="shared" si="45"/>
        <v>0</v>
      </c>
      <c r="AI41" s="77">
        <v>0</v>
      </c>
      <c r="AJ41" s="77">
        <v>0</v>
      </c>
      <c r="AK41" s="189">
        <f t="shared" si="46"/>
        <v>0</v>
      </c>
      <c r="AL41" s="77">
        <v>0</v>
      </c>
      <c r="AM41" s="77">
        <v>0</v>
      </c>
      <c r="AN41" s="189">
        <f t="shared" si="47"/>
        <v>0</v>
      </c>
      <c r="AO41" s="55">
        <f t="shared" si="28"/>
        <v>3764036</v>
      </c>
      <c r="AP41" s="56">
        <f t="shared" si="18"/>
        <v>0</v>
      </c>
      <c r="AQ41" s="179">
        <f t="shared" si="19"/>
        <v>3764036</v>
      </c>
      <c r="AR41" s="57">
        <v>0</v>
      </c>
      <c r="AS41" s="57">
        <v>0</v>
      </c>
      <c r="AT41" s="57">
        <f t="shared" si="60"/>
        <v>0</v>
      </c>
      <c r="AU41" s="56">
        <v>0</v>
      </c>
      <c r="AV41" s="84">
        <v>0</v>
      </c>
      <c r="AW41" s="55">
        <v>0</v>
      </c>
      <c r="AX41" s="56">
        <f t="shared" si="30"/>
        <v>0</v>
      </c>
      <c r="AY41" s="179">
        <f t="shared" si="22"/>
        <v>0</v>
      </c>
      <c r="AZ41" s="83">
        <v>0</v>
      </c>
      <c r="BA41" s="55">
        <v>0</v>
      </c>
      <c r="BB41" s="56">
        <v>0</v>
      </c>
      <c r="BC41" s="84">
        <f t="shared" si="49"/>
        <v>0</v>
      </c>
      <c r="BD41" s="55">
        <v>0</v>
      </c>
      <c r="BE41" s="263">
        <v>0</v>
      </c>
      <c r="BF41" s="288">
        <f t="shared" si="24"/>
        <v>0</v>
      </c>
      <c r="BG41" s="57">
        <f t="shared" si="50"/>
        <v>3764036</v>
      </c>
      <c r="BH41" s="57">
        <f t="shared" si="61"/>
        <v>0</v>
      </c>
      <c r="BI41" s="57">
        <f t="shared" si="62"/>
        <v>3764036</v>
      </c>
      <c r="BJ41" s="55">
        <f t="shared" si="52"/>
        <v>0</v>
      </c>
      <c r="BK41" s="56">
        <f t="shared" si="53"/>
        <v>0</v>
      </c>
      <c r="BL41" s="84">
        <f t="shared" si="54"/>
        <v>0</v>
      </c>
      <c r="BM41" s="55">
        <f t="shared" si="55"/>
        <v>3764036</v>
      </c>
      <c r="BN41" s="56">
        <f t="shared" si="56"/>
        <v>0</v>
      </c>
      <c r="BO41" s="53">
        <f t="shared" si="57"/>
        <v>3764036</v>
      </c>
    </row>
    <row r="42" spans="1:68" s="331" customFormat="1" x14ac:dyDescent="0.25">
      <c r="A42" s="18"/>
      <c r="B42" s="332" t="s">
        <v>91</v>
      </c>
      <c r="C42" s="56">
        <v>0</v>
      </c>
      <c r="D42" s="56">
        <v>0</v>
      </c>
      <c r="E42" s="56">
        <f t="shared" si="39"/>
        <v>0</v>
      </c>
      <c r="F42" s="56"/>
      <c r="G42" s="56">
        <v>0</v>
      </c>
      <c r="H42" s="84">
        <f t="shared" si="40"/>
        <v>0</v>
      </c>
      <c r="I42" s="55">
        <f t="shared" si="58"/>
        <v>0</v>
      </c>
      <c r="J42" s="55">
        <f t="shared" si="58"/>
        <v>0</v>
      </c>
      <c r="K42" s="179">
        <f t="shared" si="27"/>
        <v>0</v>
      </c>
      <c r="L42" s="57">
        <v>0</v>
      </c>
      <c r="M42" s="57">
        <v>0</v>
      </c>
      <c r="N42" s="53">
        <f t="shared" si="51"/>
        <v>0</v>
      </c>
      <c r="O42" s="57">
        <v>0</v>
      </c>
      <c r="P42" s="57">
        <v>0</v>
      </c>
      <c r="Q42" s="57">
        <f t="shared" si="41"/>
        <v>0</v>
      </c>
      <c r="R42" s="56">
        <v>0</v>
      </c>
      <c r="S42" s="56">
        <v>0</v>
      </c>
      <c r="T42" s="56">
        <f t="shared" si="42"/>
        <v>0</v>
      </c>
      <c r="U42" s="84"/>
      <c r="V42" s="55">
        <v>0</v>
      </c>
      <c r="W42" s="55">
        <f t="shared" si="11"/>
        <v>0</v>
      </c>
      <c r="X42" s="84">
        <f t="shared" si="43"/>
        <v>0</v>
      </c>
      <c r="Y42" s="56">
        <v>0</v>
      </c>
      <c r="Z42" s="56">
        <v>0</v>
      </c>
      <c r="AA42" s="56">
        <f t="shared" si="13"/>
        <v>0</v>
      </c>
      <c r="AB42" s="57"/>
      <c r="AC42" s="84">
        <v>12500000</v>
      </c>
      <c r="AD42" s="84">
        <v>7701000</v>
      </c>
      <c r="AE42" s="84">
        <f t="shared" si="44"/>
        <v>4799000</v>
      </c>
      <c r="AF42" s="56">
        <v>0</v>
      </c>
      <c r="AG42" s="57">
        <v>0</v>
      </c>
      <c r="AH42" s="83">
        <f t="shared" si="45"/>
        <v>0</v>
      </c>
      <c r="AI42" s="77">
        <v>0</v>
      </c>
      <c r="AJ42" s="77">
        <v>0</v>
      </c>
      <c r="AK42" s="189">
        <f t="shared" si="46"/>
        <v>0</v>
      </c>
      <c r="AL42" s="77">
        <v>0</v>
      </c>
      <c r="AM42" s="77">
        <v>0</v>
      </c>
      <c r="AN42" s="189">
        <f t="shared" si="47"/>
        <v>0</v>
      </c>
      <c r="AO42" s="55">
        <f t="shared" si="28"/>
        <v>12500000</v>
      </c>
      <c r="AP42" s="56">
        <f t="shared" si="18"/>
        <v>7701000</v>
      </c>
      <c r="AQ42" s="179">
        <f t="shared" si="19"/>
        <v>4799000</v>
      </c>
      <c r="AR42" s="57">
        <v>0</v>
      </c>
      <c r="AS42" s="57">
        <v>0</v>
      </c>
      <c r="AT42" s="57">
        <f t="shared" si="60"/>
        <v>0</v>
      </c>
      <c r="AU42" s="56">
        <v>0</v>
      </c>
      <c r="AV42" s="84">
        <v>0</v>
      </c>
      <c r="AW42" s="55">
        <v>0</v>
      </c>
      <c r="AX42" s="56">
        <f t="shared" si="30"/>
        <v>0</v>
      </c>
      <c r="AY42" s="179">
        <f t="shared" si="22"/>
        <v>0</v>
      </c>
      <c r="AZ42" s="83">
        <v>0</v>
      </c>
      <c r="BA42" s="55">
        <v>0</v>
      </c>
      <c r="BB42" s="56">
        <v>0</v>
      </c>
      <c r="BC42" s="84">
        <f t="shared" si="49"/>
        <v>0</v>
      </c>
      <c r="BD42" s="55">
        <v>0</v>
      </c>
      <c r="BE42" s="263">
        <v>0</v>
      </c>
      <c r="BF42" s="288">
        <f t="shared" si="24"/>
        <v>0</v>
      </c>
      <c r="BG42" s="57">
        <f t="shared" si="50"/>
        <v>12500000</v>
      </c>
      <c r="BH42" s="57">
        <f t="shared" si="61"/>
        <v>7701000</v>
      </c>
      <c r="BI42" s="57">
        <f t="shared" si="62"/>
        <v>4799000</v>
      </c>
      <c r="BJ42" s="55">
        <f t="shared" si="52"/>
        <v>0</v>
      </c>
      <c r="BK42" s="56">
        <f t="shared" si="53"/>
        <v>0</v>
      </c>
      <c r="BL42" s="84">
        <f t="shared" si="54"/>
        <v>0</v>
      </c>
      <c r="BM42" s="55">
        <f t="shared" si="55"/>
        <v>12500000</v>
      </c>
      <c r="BN42" s="56">
        <f t="shared" si="56"/>
        <v>7701000</v>
      </c>
      <c r="BO42" s="53">
        <f t="shared" si="57"/>
        <v>4799000</v>
      </c>
      <c r="BP42" s="1"/>
    </row>
    <row r="43" spans="1:68" s="331" customFormat="1" x14ac:dyDescent="0.25">
      <c r="A43" s="18"/>
      <c r="B43" s="136" t="s">
        <v>4</v>
      </c>
      <c r="C43" s="56">
        <v>3500000</v>
      </c>
      <c r="D43" s="56">
        <v>3500000</v>
      </c>
      <c r="E43" s="56">
        <f t="shared" si="39"/>
        <v>0</v>
      </c>
      <c r="F43" s="56">
        <v>2000000</v>
      </c>
      <c r="G43" s="56">
        <v>2000000</v>
      </c>
      <c r="H43" s="84">
        <f t="shared" si="40"/>
        <v>0</v>
      </c>
      <c r="I43" s="55">
        <f t="shared" si="58"/>
        <v>5500000</v>
      </c>
      <c r="J43" s="55">
        <f t="shared" si="58"/>
        <v>5500000</v>
      </c>
      <c r="K43" s="179">
        <f t="shared" si="27"/>
        <v>0</v>
      </c>
      <c r="L43" s="57">
        <v>0</v>
      </c>
      <c r="M43" s="57">
        <v>0</v>
      </c>
      <c r="N43" s="53">
        <f t="shared" si="51"/>
        <v>0</v>
      </c>
      <c r="O43" s="57">
        <v>0</v>
      </c>
      <c r="P43" s="57">
        <v>0</v>
      </c>
      <c r="Q43" s="57">
        <f t="shared" si="41"/>
        <v>0</v>
      </c>
      <c r="R43" s="56">
        <v>0</v>
      </c>
      <c r="S43" s="56">
        <v>0</v>
      </c>
      <c r="T43" s="56">
        <f t="shared" si="42"/>
        <v>0</v>
      </c>
      <c r="U43" s="84">
        <v>0</v>
      </c>
      <c r="V43" s="55">
        <f t="shared" si="10"/>
        <v>0</v>
      </c>
      <c r="W43" s="55">
        <f t="shared" si="11"/>
        <v>0</v>
      </c>
      <c r="X43" s="84">
        <f t="shared" si="43"/>
        <v>0</v>
      </c>
      <c r="Y43" s="56">
        <f>800000+1500000</f>
        <v>2300000</v>
      </c>
      <c r="Z43" s="56">
        <v>1374648</v>
      </c>
      <c r="AA43" s="56">
        <f t="shared" si="13"/>
        <v>925352</v>
      </c>
      <c r="AB43" s="57"/>
      <c r="AC43" s="84">
        <v>728095</v>
      </c>
      <c r="AD43" s="84">
        <v>728091</v>
      </c>
      <c r="AE43" s="84">
        <f t="shared" si="44"/>
        <v>4</v>
      </c>
      <c r="AF43" s="56">
        <v>0</v>
      </c>
      <c r="AG43" s="57">
        <v>0</v>
      </c>
      <c r="AH43" s="83">
        <f t="shared" si="45"/>
        <v>0</v>
      </c>
      <c r="AI43" s="77">
        <v>0</v>
      </c>
      <c r="AJ43" s="77">
        <v>0</v>
      </c>
      <c r="AK43" s="189">
        <f t="shared" si="46"/>
        <v>0</v>
      </c>
      <c r="AL43" s="77">
        <v>0</v>
      </c>
      <c r="AM43" s="77">
        <v>0</v>
      </c>
      <c r="AN43" s="189">
        <f t="shared" si="47"/>
        <v>0</v>
      </c>
      <c r="AO43" s="55">
        <f t="shared" si="28"/>
        <v>3028095</v>
      </c>
      <c r="AP43" s="56">
        <f t="shared" si="18"/>
        <v>2102739</v>
      </c>
      <c r="AQ43" s="179">
        <f t="shared" si="19"/>
        <v>925356</v>
      </c>
      <c r="AR43" s="57">
        <v>0</v>
      </c>
      <c r="AS43" s="57">
        <v>0</v>
      </c>
      <c r="AT43" s="57">
        <f t="shared" si="60"/>
        <v>0</v>
      </c>
      <c r="AU43" s="56">
        <v>0</v>
      </c>
      <c r="AV43" s="84">
        <v>0</v>
      </c>
      <c r="AW43" s="55">
        <f>AR43+AU43+AV43</f>
        <v>0</v>
      </c>
      <c r="AX43" s="56">
        <f t="shared" si="30"/>
        <v>0</v>
      </c>
      <c r="AY43" s="179">
        <f t="shared" si="22"/>
        <v>0</v>
      </c>
      <c r="AZ43" s="83">
        <v>0</v>
      </c>
      <c r="BA43" s="55">
        <v>0</v>
      </c>
      <c r="BB43" s="56">
        <v>0</v>
      </c>
      <c r="BC43" s="84">
        <f t="shared" si="49"/>
        <v>0</v>
      </c>
      <c r="BD43" s="55">
        <v>0</v>
      </c>
      <c r="BE43" s="263">
        <v>0</v>
      </c>
      <c r="BF43" s="288">
        <f t="shared" si="24"/>
        <v>0</v>
      </c>
      <c r="BG43" s="57">
        <f t="shared" si="50"/>
        <v>8528095</v>
      </c>
      <c r="BH43" s="57">
        <f t="shared" si="61"/>
        <v>7602739</v>
      </c>
      <c r="BI43" s="57">
        <f t="shared" si="62"/>
        <v>925356</v>
      </c>
      <c r="BJ43" s="55">
        <f t="shared" si="52"/>
        <v>0</v>
      </c>
      <c r="BK43" s="56">
        <f t="shared" si="53"/>
        <v>0</v>
      </c>
      <c r="BL43" s="84">
        <f t="shared" si="54"/>
        <v>0</v>
      </c>
      <c r="BM43" s="55">
        <f t="shared" si="55"/>
        <v>8528095</v>
      </c>
      <c r="BN43" s="56">
        <f t="shared" si="56"/>
        <v>7602739</v>
      </c>
      <c r="BO43" s="53">
        <f t="shared" si="57"/>
        <v>925356</v>
      </c>
      <c r="BP43" s="1"/>
    </row>
    <row r="44" spans="1:68" s="24" customFormat="1" ht="42.75" thickBot="1" x14ac:dyDescent="0.4">
      <c r="A44" s="18"/>
      <c r="B44" s="137" t="s">
        <v>2</v>
      </c>
      <c r="C44" s="31">
        <f t="shared" ref="C44:BN44" si="63">SUM(C13:C43)</f>
        <v>66240041.359999999</v>
      </c>
      <c r="D44" s="31">
        <f t="shared" si="63"/>
        <v>57485344</v>
      </c>
      <c r="E44" s="31">
        <f t="shared" si="63"/>
        <v>8754697.3599999994</v>
      </c>
      <c r="F44" s="31">
        <f t="shared" si="63"/>
        <v>59731637.920000002</v>
      </c>
      <c r="G44" s="31">
        <f t="shared" si="63"/>
        <v>48767667</v>
      </c>
      <c r="H44" s="86">
        <f t="shared" si="63"/>
        <v>10963970.92</v>
      </c>
      <c r="I44" s="32">
        <f t="shared" si="63"/>
        <v>125971679.28</v>
      </c>
      <c r="J44" s="31">
        <f t="shared" si="63"/>
        <v>106253011</v>
      </c>
      <c r="K44" s="30">
        <f t="shared" si="63"/>
        <v>19718668.280000001</v>
      </c>
      <c r="L44" s="68">
        <f t="shared" si="63"/>
        <v>42573713.299999997</v>
      </c>
      <c r="M44" s="31">
        <f t="shared" si="63"/>
        <v>32072814</v>
      </c>
      <c r="N44" s="30">
        <f t="shared" si="63"/>
        <v>10500899.300000001</v>
      </c>
      <c r="O44" s="68">
        <f t="shared" si="63"/>
        <v>210000</v>
      </c>
      <c r="P44" s="68">
        <f t="shared" si="63"/>
        <v>203677</v>
      </c>
      <c r="Q44" s="68">
        <f t="shared" si="63"/>
        <v>6323</v>
      </c>
      <c r="R44" s="31">
        <f t="shared" si="63"/>
        <v>38215611.870000005</v>
      </c>
      <c r="S44" s="86">
        <f t="shared" si="63"/>
        <v>36372434</v>
      </c>
      <c r="T44" s="86">
        <f t="shared" si="63"/>
        <v>1843177.87</v>
      </c>
      <c r="U44" s="86">
        <f t="shared" si="63"/>
        <v>0</v>
      </c>
      <c r="V44" s="32">
        <f t="shared" si="63"/>
        <v>38425611.870000005</v>
      </c>
      <c r="W44" s="32">
        <f t="shared" si="63"/>
        <v>36576111</v>
      </c>
      <c r="X44" s="86">
        <f t="shared" si="63"/>
        <v>1849500.87</v>
      </c>
      <c r="Y44" s="31">
        <f t="shared" si="63"/>
        <v>247340988.64999998</v>
      </c>
      <c r="Z44" s="31">
        <f t="shared" si="63"/>
        <v>212154126</v>
      </c>
      <c r="AA44" s="31">
        <f t="shared" si="63"/>
        <v>35186862.649999999</v>
      </c>
      <c r="AB44" s="68">
        <f t="shared" si="63"/>
        <v>0</v>
      </c>
      <c r="AC44" s="31">
        <f t="shared" si="63"/>
        <v>155704774.25</v>
      </c>
      <c r="AD44" s="31">
        <f t="shared" si="63"/>
        <v>134732522</v>
      </c>
      <c r="AE44" s="29">
        <f t="shared" si="63"/>
        <v>20972252.25</v>
      </c>
      <c r="AF44" s="31">
        <f t="shared" si="63"/>
        <v>112364099.2</v>
      </c>
      <c r="AG44" s="31">
        <f t="shared" si="63"/>
        <v>94349704</v>
      </c>
      <c r="AH44" s="29">
        <f t="shared" si="63"/>
        <v>18014395.199999999</v>
      </c>
      <c r="AI44" s="31">
        <f t="shared" si="63"/>
        <v>203049295.75</v>
      </c>
      <c r="AJ44" s="31">
        <f t="shared" si="63"/>
        <v>196950773</v>
      </c>
      <c r="AK44" s="86">
        <f t="shared" si="63"/>
        <v>6098522.75</v>
      </c>
      <c r="AL44" s="31">
        <f t="shared" si="63"/>
        <v>13278145.1</v>
      </c>
      <c r="AM44" s="31">
        <f t="shared" si="63"/>
        <v>11587123</v>
      </c>
      <c r="AN44" s="86">
        <f t="shared" si="63"/>
        <v>1691022.1</v>
      </c>
      <c r="AO44" s="32">
        <f t="shared" si="63"/>
        <v>731737302.95000005</v>
      </c>
      <c r="AP44" s="31">
        <f t="shared" si="63"/>
        <v>649774248</v>
      </c>
      <c r="AQ44" s="30">
        <f t="shared" si="63"/>
        <v>81963054.949999988</v>
      </c>
      <c r="AR44" s="68">
        <f t="shared" si="63"/>
        <v>203215916</v>
      </c>
      <c r="AS44" s="68">
        <f t="shared" si="63"/>
        <v>190600554</v>
      </c>
      <c r="AT44" s="68">
        <f t="shared" si="63"/>
        <v>12615362</v>
      </c>
      <c r="AU44" s="31">
        <f t="shared" si="63"/>
        <v>0</v>
      </c>
      <c r="AV44" s="86">
        <f t="shared" si="63"/>
        <v>0</v>
      </c>
      <c r="AW44" s="32">
        <f t="shared" si="63"/>
        <v>203215916</v>
      </c>
      <c r="AX44" s="31">
        <f t="shared" si="63"/>
        <v>190600554</v>
      </c>
      <c r="AY44" s="30">
        <f t="shared" si="63"/>
        <v>12615362</v>
      </c>
      <c r="AZ44" s="29">
        <f t="shared" si="63"/>
        <v>0</v>
      </c>
      <c r="BA44" s="32">
        <f t="shared" si="63"/>
        <v>1364894</v>
      </c>
      <c r="BB44" s="31">
        <f t="shared" si="63"/>
        <v>1364894</v>
      </c>
      <c r="BC44" s="86">
        <f t="shared" si="63"/>
        <v>0</v>
      </c>
      <c r="BD44" s="32">
        <f t="shared" si="63"/>
        <v>37925077.200000003</v>
      </c>
      <c r="BE44" s="31">
        <f t="shared" si="63"/>
        <v>35591176</v>
      </c>
      <c r="BF44" s="30">
        <f t="shared" si="63"/>
        <v>2333901.2000000002</v>
      </c>
      <c r="BG44" s="68">
        <f t="shared" si="63"/>
        <v>1181214194.5999999</v>
      </c>
      <c r="BH44" s="31">
        <f t="shared" si="63"/>
        <v>1052232808</v>
      </c>
      <c r="BI44" s="86">
        <f t="shared" si="63"/>
        <v>130346280.59999999</v>
      </c>
      <c r="BJ44" s="32">
        <f t="shared" si="63"/>
        <v>168215957.60000002</v>
      </c>
      <c r="BK44" s="31">
        <f t="shared" si="63"/>
        <v>138009641</v>
      </c>
      <c r="BL44" s="86">
        <f t="shared" si="63"/>
        <v>30206316.600000001</v>
      </c>
      <c r="BM44" s="32">
        <f t="shared" si="63"/>
        <v>1012998237</v>
      </c>
      <c r="BN44" s="31">
        <f t="shared" si="63"/>
        <v>914223167</v>
      </c>
      <c r="BO44" s="30">
        <f t="shared" ref="BO44" si="64">SUM(BO13:BO43)</f>
        <v>100139964</v>
      </c>
    </row>
    <row r="45" spans="1:68" ht="16.5" thickBot="1" x14ac:dyDescent="0.3">
      <c r="A45" s="18"/>
      <c r="B45" s="138" t="s">
        <v>3</v>
      </c>
      <c r="C45" s="56">
        <v>0</v>
      </c>
      <c r="D45" s="56">
        <f>111304+1593696</f>
        <v>1705000</v>
      </c>
      <c r="E45" s="56">
        <f>C45-D45</f>
        <v>-1705000</v>
      </c>
      <c r="F45" s="56">
        <v>0</v>
      </c>
      <c r="G45" s="56">
        <f>393515+256588+30000</f>
        <v>680103</v>
      </c>
      <c r="H45" s="84">
        <f>F45-G45</f>
        <v>-680103</v>
      </c>
      <c r="I45" s="163">
        <v>0</v>
      </c>
      <c r="J45" s="246">
        <f>D45+G45</f>
        <v>2385103</v>
      </c>
      <c r="K45" s="179">
        <f>I45-J45</f>
        <v>-2385103</v>
      </c>
      <c r="L45" s="78">
        <v>0</v>
      </c>
      <c r="M45" s="66">
        <v>0</v>
      </c>
      <c r="N45" s="179">
        <v>0</v>
      </c>
      <c r="O45" s="57">
        <v>0</v>
      </c>
      <c r="P45" s="57"/>
      <c r="Q45" s="57"/>
      <c r="R45" s="56">
        <v>0</v>
      </c>
      <c r="S45" s="56">
        <v>0</v>
      </c>
      <c r="T45" s="56">
        <v>0</v>
      </c>
      <c r="U45" s="84">
        <v>0</v>
      </c>
      <c r="V45" s="163">
        <v>0</v>
      </c>
      <c r="W45" s="66">
        <v>0</v>
      </c>
      <c r="X45" s="89">
        <f>V45-W45</f>
        <v>0</v>
      </c>
      <c r="Y45" s="56">
        <v>0</v>
      </c>
      <c r="Z45" s="56">
        <f>828397+547906+104915</f>
        <v>1481218</v>
      </c>
      <c r="AA45" s="56">
        <f>Y45-Z45</f>
        <v>-1481218</v>
      </c>
      <c r="AB45" s="57"/>
      <c r="AC45" s="84">
        <v>0</v>
      </c>
      <c r="AD45" s="84">
        <f>102605+1015985+156353</f>
        <v>1274943</v>
      </c>
      <c r="AE45" s="84">
        <f>AC45-AD45</f>
        <v>-1274943</v>
      </c>
      <c r="AF45" s="56">
        <v>0</v>
      </c>
      <c r="AG45" s="57">
        <f>248117+446069</f>
        <v>694186</v>
      </c>
      <c r="AH45" s="83">
        <f>AF45-AG45</f>
        <v>-694186</v>
      </c>
      <c r="AI45" s="56">
        <v>0</v>
      </c>
      <c r="AJ45" s="56">
        <f>148715+715100</f>
        <v>863815</v>
      </c>
      <c r="AK45" s="56">
        <f>AI45-AJ45</f>
        <v>-863815</v>
      </c>
      <c r="AL45" s="56">
        <v>0</v>
      </c>
      <c r="AM45" s="56">
        <v>0</v>
      </c>
      <c r="AN45" s="84">
        <v>0</v>
      </c>
      <c r="AO45" s="163">
        <f t="shared" ref="AO45:AQ45" si="65">Y45+AC45+AF45+AI45+AL45</f>
        <v>0</v>
      </c>
      <c r="AP45" s="66">
        <f t="shared" si="65"/>
        <v>4314162</v>
      </c>
      <c r="AQ45" s="179">
        <f t="shared" si="65"/>
        <v>-4314162</v>
      </c>
      <c r="AR45" s="57">
        <v>0</v>
      </c>
      <c r="AS45" s="57">
        <f>2110484+126685+464093+2000000</f>
        <v>4701262</v>
      </c>
      <c r="AT45" s="57">
        <f>AR45-AS45</f>
        <v>-4701262</v>
      </c>
      <c r="AU45" s="56">
        <v>0</v>
      </c>
      <c r="AV45" s="84">
        <v>0</v>
      </c>
      <c r="AW45" s="163">
        <v>0</v>
      </c>
      <c r="AX45" s="66">
        <f>AS45</f>
        <v>4701262</v>
      </c>
      <c r="AY45" s="179">
        <f>AT45</f>
        <v>-4701262</v>
      </c>
      <c r="AZ45" s="28">
        <v>0</v>
      </c>
      <c r="BA45" s="163">
        <v>0</v>
      </c>
      <c r="BB45" s="66">
        <v>0</v>
      </c>
      <c r="BC45" s="89">
        <v>0</v>
      </c>
      <c r="BD45" s="163">
        <v>0</v>
      </c>
      <c r="BE45" s="66">
        <v>0</v>
      </c>
      <c r="BF45" s="179">
        <f>BD45-BE45</f>
        <v>0</v>
      </c>
      <c r="BG45" s="57">
        <f t="shared" ref="BG45" si="66">I45+L45+V45+AO45+AW45+AZ45+BD45+BA45</f>
        <v>0</v>
      </c>
      <c r="BH45" s="57">
        <f t="shared" ref="BH45" si="67">J45+M45+W45+AP45+AX45+BE45+BB45</f>
        <v>11400527</v>
      </c>
      <c r="BI45" s="57">
        <f t="shared" ref="BI45" si="68">K45+N45+X45+AQ45+AY45+BB45+BF45+BC45</f>
        <v>-11400527</v>
      </c>
      <c r="BJ45" s="55">
        <f t="shared" ref="BJ45" si="69">L45+AL45+AF45</f>
        <v>0</v>
      </c>
      <c r="BK45" s="56">
        <f t="shared" ref="BK45" si="70">M45+AM45+AG45</f>
        <v>694186</v>
      </c>
      <c r="BL45" s="84">
        <f t="shared" ref="BL45" si="71">N45+AN45+AH45</f>
        <v>-694186</v>
      </c>
      <c r="BM45" s="55">
        <f t="shared" ref="BM45" si="72">BG45-BJ45</f>
        <v>0</v>
      </c>
      <c r="BN45" s="56">
        <f t="shared" ref="BN45" si="73">BH45-BK45</f>
        <v>10706341</v>
      </c>
      <c r="BO45" s="53">
        <f t="shared" ref="BO45" si="74">BI45-BL45</f>
        <v>-10706341</v>
      </c>
    </row>
    <row r="46" spans="1:68" s="24" customFormat="1" ht="21.75" thickBot="1" x14ac:dyDescent="0.4">
      <c r="A46" s="18"/>
      <c r="B46" s="139" t="s">
        <v>50</v>
      </c>
      <c r="C46" s="61">
        <f t="shared" ref="C46:BN46" si="75">C45</f>
        <v>0</v>
      </c>
      <c r="D46" s="61">
        <f t="shared" si="75"/>
        <v>1705000</v>
      </c>
      <c r="E46" s="61">
        <f t="shared" si="75"/>
        <v>-1705000</v>
      </c>
      <c r="F46" s="61">
        <f t="shared" si="75"/>
        <v>0</v>
      </c>
      <c r="G46" s="61">
        <f t="shared" si="75"/>
        <v>680103</v>
      </c>
      <c r="H46" s="87">
        <f t="shared" si="75"/>
        <v>-680103</v>
      </c>
      <c r="I46" s="26">
        <f t="shared" si="75"/>
        <v>0</v>
      </c>
      <c r="J46" s="61">
        <f t="shared" si="75"/>
        <v>2385103</v>
      </c>
      <c r="K46" s="25">
        <f t="shared" si="75"/>
        <v>-2385103</v>
      </c>
      <c r="L46" s="69">
        <f t="shared" si="75"/>
        <v>0</v>
      </c>
      <c r="M46" s="69">
        <f t="shared" si="75"/>
        <v>0</v>
      </c>
      <c r="N46" s="117">
        <f t="shared" si="75"/>
        <v>0</v>
      </c>
      <c r="O46" s="69">
        <f t="shared" si="75"/>
        <v>0</v>
      </c>
      <c r="P46" s="69">
        <f t="shared" si="75"/>
        <v>0</v>
      </c>
      <c r="Q46" s="69">
        <f t="shared" si="75"/>
        <v>0</v>
      </c>
      <c r="R46" s="61">
        <f t="shared" si="75"/>
        <v>0</v>
      </c>
      <c r="S46" s="61">
        <f t="shared" si="75"/>
        <v>0</v>
      </c>
      <c r="T46" s="61">
        <f t="shared" si="75"/>
        <v>0</v>
      </c>
      <c r="U46" s="87">
        <f t="shared" si="75"/>
        <v>0</v>
      </c>
      <c r="V46" s="26">
        <f t="shared" si="75"/>
        <v>0</v>
      </c>
      <c r="W46" s="61">
        <f t="shared" si="75"/>
        <v>0</v>
      </c>
      <c r="X46" s="61">
        <f t="shared" si="75"/>
        <v>0</v>
      </c>
      <c r="Y46" s="61">
        <f t="shared" si="75"/>
        <v>0</v>
      </c>
      <c r="Z46" s="61">
        <f t="shared" si="75"/>
        <v>1481218</v>
      </c>
      <c r="AA46" s="61">
        <f t="shared" si="75"/>
        <v>-1481218</v>
      </c>
      <c r="AB46" s="69">
        <f t="shared" si="75"/>
        <v>0</v>
      </c>
      <c r="AC46" s="87">
        <f t="shared" si="75"/>
        <v>0</v>
      </c>
      <c r="AD46" s="87">
        <f t="shared" si="75"/>
        <v>1274943</v>
      </c>
      <c r="AE46" s="87">
        <f t="shared" si="75"/>
        <v>-1274943</v>
      </c>
      <c r="AF46" s="61">
        <f t="shared" si="75"/>
        <v>0</v>
      </c>
      <c r="AG46" s="61">
        <f t="shared" si="75"/>
        <v>694186</v>
      </c>
      <c r="AH46" s="27">
        <f t="shared" si="75"/>
        <v>-694186</v>
      </c>
      <c r="AI46" s="61">
        <f t="shared" si="75"/>
        <v>0</v>
      </c>
      <c r="AJ46" s="61">
        <f t="shared" si="75"/>
        <v>863815</v>
      </c>
      <c r="AK46" s="61">
        <f t="shared" si="75"/>
        <v>-863815</v>
      </c>
      <c r="AL46" s="61">
        <f t="shared" si="75"/>
        <v>0</v>
      </c>
      <c r="AM46" s="61">
        <f t="shared" si="75"/>
        <v>0</v>
      </c>
      <c r="AN46" s="87">
        <f t="shared" si="75"/>
        <v>0</v>
      </c>
      <c r="AO46" s="26">
        <f t="shared" si="75"/>
        <v>0</v>
      </c>
      <c r="AP46" s="61">
        <f t="shared" si="75"/>
        <v>4314162</v>
      </c>
      <c r="AQ46" s="25">
        <f t="shared" si="75"/>
        <v>-4314162</v>
      </c>
      <c r="AR46" s="69">
        <f t="shared" si="75"/>
        <v>0</v>
      </c>
      <c r="AS46" s="69">
        <f t="shared" si="75"/>
        <v>4701262</v>
      </c>
      <c r="AT46" s="69">
        <f t="shared" si="75"/>
        <v>-4701262</v>
      </c>
      <c r="AU46" s="61">
        <f t="shared" si="75"/>
        <v>0</v>
      </c>
      <c r="AV46" s="87">
        <f t="shared" si="75"/>
        <v>0</v>
      </c>
      <c r="AW46" s="26">
        <f t="shared" si="75"/>
        <v>0</v>
      </c>
      <c r="AX46" s="61">
        <f t="shared" si="75"/>
        <v>4701262</v>
      </c>
      <c r="AY46" s="25">
        <f t="shared" si="75"/>
        <v>-4701262</v>
      </c>
      <c r="AZ46" s="27">
        <f t="shared" si="75"/>
        <v>0</v>
      </c>
      <c r="BA46" s="26">
        <f t="shared" si="75"/>
        <v>0</v>
      </c>
      <c r="BB46" s="61">
        <f t="shared" si="75"/>
        <v>0</v>
      </c>
      <c r="BC46" s="87">
        <f t="shared" si="75"/>
        <v>0</v>
      </c>
      <c r="BD46" s="26">
        <f t="shared" si="75"/>
        <v>0</v>
      </c>
      <c r="BE46" s="61">
        <f t="shared" si="75"/>
        <v>0</v>
      </c>
      <c r="BF46" s="25">
        <f t="shared" si="75"/>
        <v>0</v>
      </c>
      <c r="BG46" s="294">
        <f t="shared" si="75"/>
        <v>0</v>
      </c>
      <c r="BH46" s="294">
        <f t="shared" si="75"/>
        <v>11400527</v>
      </c>
      <c r="BI46" s="360">
        <f t="shared" si="75"/>
        <v>-11400527</v>
      </c>
      <c r="BJ46" s="26">
        <f t="shared" si="75"/>
        <v>0</v>
      </c>
      <c r="BK46" s="61">
        <f t="shared" si="75"/>
        <v>694186</v>
      </c>
      <c r="BL46" s="87">
        <f t="shared" si="75"/>
        <v>-694186</v>
      </c>
      <c r="BM46" s="26">
        <f t="shared" si="75"/>
        <v>0</v>
      </c>
      <c r="BN46" s="61">
        <f t="shared" si="75"/>
        <v>10706341</v>
      </c>
      <c r="BO46" s="25">
        <f t="shared" ref="BO46" si="76">BO45</f>
        <v>-10706341</v>
      </c>
    </row>
    <row r="47" spans="1:68" s="20" customFormat="1" ht="19.5" thickBot="1" x14ac:dyDescent="0.35">
      <c r="A47" s="22"/>
      <c r="B47" s="312" t="s">
        <v>49</v>
      </c>
      <c r="C47" s="313">
        <f>C44+C46</f>
        <v>66240041.359999999</v>
      </c>
      <c r="D47" s="313">
        <f t="shared" ref="D47:BO47" si="77">D44+D46</f>
        <v>59190344</v>
      </c>
      <c r="E47" s="313">
        <f t="shared" si="77"/>
        <v>7049697.3599999994</v>
      </c>
      <c r="F47" s="314">
        <f t="shared" si="77"/>
        <v>59731637.920000002</v>
      </c>
      <c r="G47" s="314">
        <f t="shared" si="77"/>
        <v>49447770</v>
      </c>
      <c r="H47" s="315">
        <f t="shared" si="77"/>
        <v>10283867.92</v>
      </c>
      <c r="I47" s="316">
        <f t="shared" si="77"/>
        <v>125971679.28</v>
      </c>
      <c r="J47" s="314">
        <f t="shared" si="77"/>
        <v>108638114</v>
      </c>
      <c r="K47" s="298">
        <f t="shared" si="77"/>
        <v>17333565.280000001</v>
      </c>
      <c r="L47" s="317">
        <f t="shared" si="77"/>
        <v>42573713.299999997</v>
      </c>
      <c r="M47" s="317">
        <f t="shared" si="77"/>
        <v>32072814</v>
      </c>
      <c r="N47" s="318">
        <f t="shared" si="77"/>
        <v>10500899.300000001</v>
      </c>
      <c r="O47" s="319">
        <f t="shared" si="77"/>
        <v>210000</v>
      </c>
      <c r="P47" s="319">
        <f t="shared" si="77"/>
        <v>203677</v>
      </c>
      <c r="Q47" s="319">
        <f t="shared" si="77"/>
        <v>6323</v>
      </c>
      <c r="R47" s="320">
        <f t="shared" si="77"/>
        <v>38215611.870000005</v>
      </c>
      <c r="S47" s="320">
        <f t="shared" si="77"/>
        <v>36372434</v>
      </c>
      <c r="T47" s="320">
        <f t="shared" si="77"/>
        <v>1843177.87</v>
      </c>
      <c r="U47" s="321">
        <f t="shared" si="77"/>
        <v>0</v>
      </c>
      <c r="V47" s="316">
        <f t="shared" si="77"/>
        <v>38425611.870000005</v>
      </c>
      <c r="W47" s="316">
        <f t="shared" si="77"/>
        <v>36576111</v>
      </c>
      <c r="X47" s="315">
        <f t="shared" si="77"/>
        <v>1849500.87</v>
      </c>
      <c r="Y47" s="314">
        <f t="shared" si="77"/>
        <v>247340988.64999998</v>
      </c>
      <c r="Z47" s="314">
        <f t="shared" si="77"/>
        <v>213635344</v>
      </c>
      <c r="AA47" s="314">
        <f t="shared" si="77"/>
        <v>33705644.649999999</v>
      </c>
      <c r="AB47" s="319">
        <f t="shared" si="77"/>
        <v>0</v>
      </c>
      <c r="AC47" s="321">
        <f t="shared" si="77"/>
        <v>155704774.25</v>
      </c>
      <c r="AD47" s="321">
        <f t="shared" si="77"/>
        <v>136007465</v>
      </c>
      <c r="AE47" s="321">
        <f t="shared" si="77"/>
        <v>19697309.25</v>
      </c>
      <c r="AF47" s="320">
        <f t="shared" si="77"/>
        <v>112364099.2</v>
      </c>
      <c r="AG47" s="320">
        <f t="shared" si="77"/>
        <v>95043890</v>
      </c>
      <c r="AH47" s="322">
        <f t="shared" si="77"/>
        <v>17320209.199999999</v>
      </c>
      <c r="AI47" s="314">
        <f t="shared" si="77"/>
        <v>203049295.75</v>
      </c>
      <c r="AJ47" s="314">
        <f t="shared" si="77"/>
        <v>197814588</v>
      </c>
      <c r="AK47" s="322">
        <f t="shared" si="77"/>
        <v>5234707.75</v>
      </c>
      <c r="AL47" s="314">
        <f t="shared" si="77"/>
        <v>13278145.1</v>
      </c>
      <c r="AM47" s="314">
        <f t="shared" si="77"/>
        <v>11587123</v>
      </c>
      <c r="AN47" s="315">
        <f t="shared" si="77"/>
        <v>1691022.1</v>
      </c>
      <c r="AO47" s="316">
        <f t="shared" si="77"/>
        <v>731737302.95000005</v>
      </c>
      <c r="AP47" s="316">
        <f t="shared" si="77"/>
        <v>654088410</v>
      </c>
      <c r="AQ47" s="316">
        <f t="shared" si="77"/>
        <v>77648892.949999988</v>
      </c>
      <c r="AR47" s="319">
        <f t="shared" si="77"/>
        <v>203215916</v>
      </c>
      <c r="AS47" s="319">
        <f t="shared" si="77"/>
        <v>195301816</v>
      </c>
      <c r="AT47" s="319">
        <f t="shared" si="77"/>
        <v>7914100</v>
      </c>
      <c r="AU47" s="320">
        <f t="shared" si="77"/>
        <v>0</v>
      </c>
      <c r="AV47" s="321">
        <f t="shared" si="77"/>
        <v>0</v>
      </c>
      <c r="AW47" s="316">
        <f t="shared" si="77"/>
        <v>203215916</v>
      </c>
      <c r="AX47" s="314">
        <f t="shared" si="77"/>
        <v>195301816</v>
      </c>
      <c r="AY47" s="298">
        <f t="shared" si="77"/>
        <v>7914100</v>
      </c>
      <c r="AZ47" s="323">
        <f t="shared" si="77"/>
        <v>0</v>
      </c>
      <c r="BA47" s="316">
        <f t="shared" si="77"/>
        <v>1364894</v>
      </c>
      <c r="BB47" s="314">
        <f t="shared" si="77"/>
        <v>1364894</v>
      </c>
      <c r="BC47" s="315">
        <f t="shared" si="77"/>
        <v>0</v>
      </c>
      <c r="BD47" s="316">
        <f t="shared" si="77"/>
        <v>37925077.200000003</v>
      </c>
      <c r="BE47" s="314">
        <f t="shared" si="77"/>
        <v>35591176</v>
      </c>
      <c r="BF47" s="298">
        <f t="shared" si="77"/>
        <v>2333901.2000000002</v>
      </c>
      <c r="BG47" s="324">
        <f t="shared" si="77"/>
        <v>1181214194.5999999</v>
      </c>
      <c r="BH47" s="324">
        <f t="shared" si="77"/>
        <v>1063633335</v>
      </c>
      <c r="BI47" s="361">
        <f t="shared" si="77"/>
        <v>118945753.59999999</v>
      </c>
      <c r="BJ47" s="325">
        <f t="shared" si="77"/>
        <v>168215957.60000002</v>
      </c>
      <c r="BK47" s="326">
        <f t="shared" si="77"/>
        <v>138703827</v>
      </c>
      <c r="BL47" s="365">
        <f t="shared" si="77"/>
        <v>29512130.600000001</v>
      </c>
      <c r="BM47" s="325">
        <f t="shared" si="77"/>
        <v>1012998237</v>
      </c>
      <c r="BN47" s="326">
        <f t="shared" si="77"/>
        <v>924929508</v>
      </c>
      <c r="BO47" s="327">
        <f t="shared" si="77"/>
        <v>89433623</v>
      </c>
    </row>
    <row r="48" spans="1:68" ht="16.5" thickBot="1" x14ac:dyDescent="0.3">
      <c r="A48" s="18"/>
      <c r="B48" s="116"/>
      <c r="C48" s="148"/>
      <c r="D48" s="148"/>
      <c r="E48" s="148"/>
      <c r="F48" s="148"/>
      <c r="G48" s="148"/>
      <c r="H48" s="157"/>
      <c r="I48" s="164"/>
      <c r="J48" s="148"/>
      <c r="K48" s="180"/>
      <c r="L48" s="191"/>
      <c r="M48" s="148"/>
      <c r="N48" s="180"/>
      <c r="O48" s="70"/>
      <c r="P48" s="70"/>
      <c r="Q48" s="70"/>
      <c r="R48" s="60"/>
      <c r="S48" s="88"/>
      <c r="T48" s="88"/>
      <c r="U48" s="88"/>
      <c r="V48" s="164"/>
      <c r="W48" s="148"/>
      <c r="X48" s="157"/>
      <c r="Y48" s="148"/>
      <c r="Z48" s="148"/>
      <c r="AA48" s="148"/>
      <c r="AB48" s="70"/>
      <c r="AC48" s="88"/>
      <c r="AD48" s="88"/>
      <c r="AE48" s="88"/>
      <c r="AF48" s="60"/>
      <c r="AG48" s="70"/>
      <c r="AH48" s="70"/>
      <c r="AI48" s="292"/>
      <c r="AJ48" s="293"/>
      <c r="AK48" s="23"/>
      <c r="AL48" s="148"/>
      <c r="AM48" s="148"/>
      <c r="AN48" s="157"/>
      <c r="AO48" s="164"/>
      <c r="AP48" s="148"/>
      <c r="AQ48" s="180"/>
      <c r="AR48" s="70"/>
      <c r="AS48" s="70"/>
      <c r="AT48" s="70"/>
      <c r="AU48" s="60"/>
      <c r="AV48" s="88"/>
      <c r="AW48" s="164"/>
      <c r="AX48" s="148"/>
      <c r="AY48" s="180"/>
      <c r="AZ48" s="23"/>
      <c r="BA48" s="164"/>
      <c r="BB48" s="148"/>
      <c r="BC48" s="157"/>
      <c r="BD48" s="164"/>
      <c r="BE48" s="148"/>
      <c r="BF48" s="180"/>
      <c r="BG48" s="295"/>
      <c r="BH48" s="295"/>
      <c r="BI48" s="362"/>
      <c r="BJ48" s="55">
        <f>L48+AF48+AL48+AZ48</f>
        <v>0</v>
      </c>
      <c r="BK48" s="56"/>
      <c r="BL48" s="84"/>
      <c r="BM48" s="55">
        <f t="shared" ref="BM48:BM61" si="78">BG48-BJ48</f>
        <v>0</v>
      </c>
      <c r="BN48" s="56"/>
      <c r="BO48" s="53"/>
    </row>
    <row r="49" spans="1:88" s="20" customFormat="1" ht="21.75" thickBot="1" x14ac:dyDescent="0.4">
      <c r="A49" s="22"/>
      <c r="B49" s="140" t="s">
        <v>48</v>
      </c>
      <c r="C49" s="149">
        <f>$C91*C62</f>
        <v>11989604.132505974</v>
      </c>
      <c r="D49" s="149">
        <f>$D91*D62</f>
        <v>10850950.138637559</v>
      </c>
      <c r="E49" s="149">
        <f>C49-D49</f>
        <v>1138653.9938684143</v>
      </c>
      <c r="F49" s="149">
        <v>11851068</v>
      </c>
      <c r="G49" s="149">
        <f>$D91*G62</f>
        <v>9205398.9099322502</v>
      </c>
      <c r="H49" s="158">
        <f>F49-G49</f>
        <v>2645669.0900677498</v>
      </c>
      <c r="I49" s="165">
        <f>$C91*I62</f>
        <v>22801171.851113185</v>
      </c>
      <c r="J49" s="149">
        <f>D49+G49</f>
        <v>20056349.04856981</v>
      </c>
      <c r="K49" s="181">
        <f>I49-J49</f>
        <v>2744822.8025433756</v>
      </c>
      <c r="L49" s="192">
        <f>$C91*L62</f>
        <v>7705942.7868359126</v>
      </c>
      <c r="M49" s="192">
        <f>$D91*M62</f>
        <v>6054073.6351825027</v>
      </c>
      <c r="N49" s="245">
        <f>L49-M49</f>
        <v>1651869.1516534099</v>
      </c>
      <c r="O49" s="245">
        <f>$C91*O62</f>
        <v>38010.49661401139</v>
      </c>
      <c r="P49" s="245">
        <f>$D91*P62</f>
        <v>38446.129354071229</v>
      </c>
      <c r="Q49" s="245">
        <f>O49-P49</f>
        <v>-435.6327400598384</v>
      </c>
      <c r="R49" s="59">
        <f>$C91*R62</f>
        <v>6917116.1218428984</v>
      </c>
      <c r="S49" s="59">
        <f>$D91*S62</f>
        <v>6865671.1483693225</v>
      </c>
      <c r="T49" s="59">
        <f>R49-S49</f>
        <v>51444.973473575898</v>
      </c>
      <c r="U49" s="48">
        <f>$C91*U62</f>
        <v>0</v>
      </c>
      <c r="V49" s="165">
        <f>$C91*V62</f>
        <v>6955126.6184569094</v>
      </c>
      <c r="W49" s="165">
        <f>D91*W62</f>
        <v>6904117.2777233934</v>
      </c>
      <c r="X49" s="158">
        <f>V49-W49</f>
        <v>51009.34073351603</v>
      </c>
      <c r="Y49" s="149">
        <f>$C91*Y62</f>
        <v>44769303.86470025</v>
      </c>
      <c r="Z49" s="149">
        <f>$D91*Z62</f>
        <v>40046274.106531054</v>
      </c>
      <c r="AA49" s="149">
        <f>Y49-Z49</f>
        <v>4723029.7581691965</v>
      </c>
      <c r="AB49" s="71">
        <f>$C91*AB62</f>
        <v>0</v>
      </c>
      <c r="AC49" s="71">
        <f>$C91*AC62</f>
        <v>28182932.354357298</v>
      </c>
      <c r="AD49" s="71">
        <f>$D91*AD62</f>
        <v>25432149.771511991</v>
      </c>
      <c r="AE49" s="71">
        <f>AC49-AD49</f>
        <v>2750782.5828453079</v>
      </c>
      <c r="AF49" s="90">
        <f>$C91*AF62</f>
        <v>20338167.677038286</v>
      </c>
      <c r="AG49" s="90">
        <f>$D91*AG62</f>
        <v>17809477.380864467</v>
      </c>
      <c r="AH49" s="71">
        <f>AF49-AG49</f>
        <v>2528690.2961738184</v>
      </c>
      <c r="AI49" s="71">
        <f>$C91*AI62</f>
        <v>36752402.70753701</v>
      </c>
      <c r="AJ49" s="71">
        <f>$D91*AJ62</f>
        <v>37176484.802615508</v>
      </c>
      <c r="AK49" s="21">
        <f>AI49-AJ49</f>
        <v>-424082.09507849813</v>
      </c>
      <c r="AL49" s="21">
        <f>$C91*AL62</f>
        <v>2403375.6636376283</v>
      </c>
      <c r="AM49" s="21">
        <f>$D91*AM62</f>
        <v>2187188.6845325385</v>
      </c>
      <c r="AN49" s="21">
        <f>AL49-AM49</f>
        <v>216186.97910508979</v>
      </c>
      <c r="AO49" s="165">
        <f>$C91*AO62</f>
        <v>132446182.26727051</v>
      </c>
      <c r="AP49" s="149">
        <f>$D91*AP62</f>
        <v>122651574.74605557</v>
      </c>
      <c r="AQ49" s="181">
        <f>AO49-AP49</f>
        <v>9794607.5212149322</v>
      </c>
      <c r="AR49" s="71">
        <f>$C91*AR62</f>
        <v>36782561.366815351</v>
      </c>
      <c r="AS49" s="71">
        <f>$D91*AS62</f>
        <v>35977815.629853338</v>
      </c>
      <c r="AT49" s="71">
        <f>AR49-AS49</f>
        <v>804745.73696201295</v>
      </c>
      <c r="AU49" s="59">
        <f>$C91*AU62</f>
        <v>0</v>
      </c>
      <c r="AV49" s="48">
        <f>$C91*AV62</f>
        <v>0</v>
      </c>
      <c r="AW49" s="165">
        <f>$C91*AW62</f>
        <v>36782561.366815351</v>
      </c>
      <c r="AX49" s="149">
        <f>$D91*AX62</f>
        <v>35977815.629853338</v>
      </c>
      <c r="AY49" s="181">
        <f>AT49</f>
        <v>804745.73696201295</v>
      </c>
      <c r="AZ49" s="21">
        <f>$C91*AZ62</f>
        <v>0</v>
      </c>
      <c r="BA49" s="165">
        <f>$C91*BA62</f>
        <v>0</v>
      </c>
      <c r="BB49" s="149">
        <f>$D91*BB62</f>
        <v>0</v>
      </c>
      <c r="BC49" s="158">
        <f>BA49-BB49</f>
        <v>0</v>
      </c>
      <c r="BD49" s="165">
        <f>$C91*BD62</f>
        <v>6864528.6595081938</v>
      </c>
      <c r="BE49" s="149">
        <f>$D91*BE62</f>
        <v>6718200.6626153933</v>
      </c>
      <c r="BF49" s="181">
        <f>BD49-BE49</f>
        <v>146327.99689280055</v>
      </c>
      <c r="BG49" s="296">
        <f>$C91*BG62</f>
        <v>213555513.55000001</v>
      </c>
      <c r="BH49" s="31">
        <f>J49+M49+W49+AP49+AX49+BB49+BE49</f>
        <v>198362131</v>
      </c>
      <c r="BI49" s="363">
        <f>BG49-BH49</f>
        <v>15193382.550000012</v>
      </c>
      <c r="BJ49" s="165">
        <f>$C91*BJ62</f>
        <v>30412304.031563014</v>
      </c>
      <c r="BK49" s="149">
        <f>$C91*BK62</f>
        <v>24951206.896549884</v>
      </c>
      <c r="BL49" s="158">
        <f>BJ49-BK49</f>
        <v>5461097.1350131296</v>
      </c>
      <c r="BM49" s="165">
        <f t="shared" si="78"/>
        <v>183143209.518437</v>
      </c>
      <c r="BN49" s="149">
        <f>BH49-BK49</f>
        <v>173410924.10345012</v>
      </c>
      <c r="BO49" s="181">
        <f>BI49-BL49</f>
        <v>9732285.4149868824</v>
      </c>
      <c r="BP49" s="1"/>
    </row>
    <row r="50" spans="1:88" x14ac:dyDescent="0.25">
      <c r="A50" s="18"/>
      <c r="B50" s="136" t="s">
        <v>47</v>
      </c>
      <c r="C50" s="146"/>
      <c r="D50" s="146"/>
      <c r="E50" s="146"/>
      <c r="F50" s="146"/>
      <c r="G50" s="146"/>
      <c r="H50" s="155"/>
      <c r="I50" s="161"/>
      <c r="J50" s="154"/>
      <c r="K50" s="193"/>
      <c r="L50" s="78"/>
      <c r="M50" s="66"/>
      <c r="N50" s="179"/>
      <c r="O50" s="72"/>
      <c r="P50" s="72"/>
      <c r="Q50" s="72"/>
      <c r="R50" s="58"/>
      <c r="S50" s="19"/>
      <c r="T50" s="19"/>
      <c r="U50" s="19"/>
      <c r="V50" s="163"/>
      <c r="W50" s="66"/>
      <c r="X50" s="89"/>
      <c r="Y50" s="56"/>
      <c r="Z50" s="56"/>
      <c r="AA50" s="56"/>
      <c r="AB50" s="72"/>
      <c r="AC50" s="19"/>
      <c r="AD50" s="19"/>
      <c r="AE50" s="19"/>
      <c r="AF50" s="58"/>
      <c r="AG50" s="72"/>
      <c r="AH50" s="72"/>
      <c r="AI50" s="72"/>
      <c r="AJ50" s="115"/>
      <c r="AK50" s="187"/>
      <c r="AL50" s="56"/>
      <c r="AM50" s="56"/>
      <c r="AN50" s="84"/>
      <c r="AO50" s="55"/>
      <c r="AP50" s="56"/>
      <c r="AQ50" s="53"/>
      <c r="AR50" s="72"/>
      <c r="AS50" s="72"/>
      <c r="AT50" s="72"/>
      <c r="AU50" s="58"/>
      <c r="AV50" s="19"/>
      <c r="AW50" s="163"/>
      <c r="AX50" s="66"/>
      <c r="AY50" s="179"/>
      <c r="AZ50" s="49">
        <v>0</v>
      </c>
      <c r="BA50" s="163"/>
      <c r="BB50" s="66"/>
      <c r="BC50" s="89"/>
      <c r="BD50" s="163"/>
      <c r="BE50" s="66"/>
      <c r="BF50" s="179"/>
      <c r="BG50" s="57">
        <f t="shared" ref="BG50" si="79">I50+L50+V50+AO50+AW50+AZ50+BD50+BA50</f>
        <v>0</v>
      </c>
      <c r="BH50" s="57">
        <f t="shared" ref="BH50:BH58" si="80">J50+M50+W50+AP50+AX50+BE50+BB50</f>
        <v>0</v>
      </c>
      <c r="BI50" s="57">
        <f t="shared" ref="BI50:BI58" si="81">K50+N50+X50+AQ50+AY50+BB50+BF50+BC50</f>
        <v>0</v>
      </c>
      <c r="BJ50" s="55">
        <f t="shared" ref="BJ50" si="82">L50+AL50+AF50</f>
        <v>0</v>
      </c>
      <c r="BK50" s="56">
        <f t="shared" ref="BK50" si="83">M50+AM50+AG50</f>
        <v>0</v>
      </c>
      <c r="BL50" s="84">
        <f t="shared" ref="BL50" si="84">N50+AN50+AH50</f>
        <v>0</v>
      </c>
      <c r="BM50" s="55">
        <f t="shared" ref="BM50" si="85">BG50-BJ50</f>
        <v>0</v>
      </c>
      <c r="BN50" s="56">
        <f t="shared" ref="BN50" si="86">BH50-BK50</f>
        <v>0</v>
      </c>
      <c r="BO50" s="53">
        <f t="shared" ref="BO50" si="87">BI50-BL50</f>
        <v>0</v>
      </c>
    </row>
    <row r="51" spans="1:88" x14ac:dyDescent="0.25">
      <c r="A51" s="18"/>
      <c r="B51" s="10" t="s">
        <v>46</v>
      </c>
      <c r="C51" s="147">
        <v>0</v>
      </c>
      <c r="D51" s="147">
        <v>0</v>
      </c>
      <c r="E51" s="147">
        <f>C51-D51</f>
        <v>0</v>
      </c>
      <c r="F51" s="56">
        <v>4191000</v>
      </c>
      <c r="G51" s="56">
        <v>1484000</v>
      </c>
      <c r="H51" s="84">
        <f>F51-G51</f>
        <v>2707000</v>
      </c>
      <c r="I51" s="162">
        <f t="shared" ref="I51:K58" si="88">C51+F51</f>
        <v>4191000</v>
      </c>
      <c r="J51" s="246">
        <f t="shared" si="88"/>
        <v>1484000</v>
      </c>
      <c r="K51" s="194">
        <f t="shared" si="88"/>
        <v>2707000</v>
      </c>
      <c r="L51" s="78">
        <v>0</v>
      </c>
      <c r="M51" s="66">
        <v>0</v>
      </c>
      <c r="N51" s="179">
        <v>0</v>
      </c>
      <c r="O51" s="57">
        <v>0</v>
      </c>
      <c r="P51" s="57">
        <v>0</v>
      </c>
      <c r="Q51" s="57">
        <f>O51-P51</f>
        <v>0</v>
      </c>
      <c r="R51" s="56">
        <v>0</v>
      </c>
      <c r="S51" s="84">
        <v>0</v>
      </c>
      <c r="T51" s="84">
        <f>R51-S51</f>
        <v>0</v>
      </c>
      <c r="U51" s="84">
        <v>0</v>
      </c>
      <c r="V51" s="163">
        <f t="shared" ref="V51:W59" si="89">O51+R51+U51</f>
        <v>0</v>
      </c>
      <c r="W51" s="163">
        <f t="shared" si="89"/>
        <v>0</v>
      </c>
      <c r="X51" s="89">
        <f>V51-W51</f>
        <v>0</v>
      </c>
      <c r="Y51" s="66">
        <v>2000000</v>
      </c>
      <c r="Z51" s="56">
        <v>3011173</v>
      </c>
      <c r="AA51" s="66">
        <f>Y51-Z51</f>
        <v>-1011173</v>
      </c>
      <c r="AB51" s="78"/>
      <c r="AC51" s="89">
        <v>0</v>
      </c>
      <c r="AD51" s="89">
        <v>70866</v>
      </c>
      <c r="AE51" s="89">
        <f>AC51-AD51</f>
        <v>-70866</v>
      </c>
      <c r="AF51" s="66">
        <v>8000000</v>
      </c>
      <c r="AG51" s="78">
        <v>7067080</v>
      </c>
      <c r="AH51" s="78">
        <f>AF51-AG51</f>
        <v>932920</v>
      </c>
      <c r="AI51" s="115">
        <v>0</v>
      </c>
      <c r="AJ51" s="115">
        <v>0</v>
      </c>
      <c r="AK51" s="188">
        <f>AI51-AJ51</f>
        <v>0</v>
      </c>
      <c r="AL51" s="56">
        <v>0</v>
      </c>
      <c r="AM51" s="56">
        <v>0</v>
      </c>
      <c r="AN51" s="84">
        <f>AL51-AM51</f>
        <v>0</v>
      </c>
      <c r="AO51" s="163">
        <f>Y51+AC51+AF51+AI51+AL51</f>
        <v>10000000</v>
      </c>
      <c r="AP51" s="66">
        <f>Z51+AD51+AG51+AJ51+AM51</f>
        <v>10149119</v>
      </c>
      <c r="AQ51" s="179">
        <f>AO51-AP51</f>
        <v>-149119</v>
      </c>
      <c r="AR51" s="57">
        <v>0</v>
      </c>
      <c r="AS51" s="57">
        <v>0</v>
      </c>
      <c r="AT51" s="57">
        <f>AR51-AS51</f>
        <v>0</v>
      </c>
      <c r="AU51" s="56">
        <v>0</v>
      </c>
      <c r="AV51" s="84">
        <v>0</v>
      </c>
      <c r="AW51" s="163">
        <f t="shared" ref="AW51:AX59" si="90">AR51+AU51+AV51</f>
        <v>0</v>
      </c>
      <c r="AX51" s="66">
        <f t="shared" si="90"/>
        <v>0</v>
      </c>
      <c r="AY51" s="179">
        <f>AW51-AX51</f>
        <v>0</v>
      </c>
      <c r="AZ51" s="28">
        <v>0</v>
      </c>
      <c r="BA51" s="163">
        <v>0</v>
      </c>
      <c r="BB51" s="66">
        <v>0</v>
      </c>
      <c r="BC51" s="89">
        <f>BA51-BB51</f>
        <v>0</v>
      </c>
      <c r="BD51" s="163">
        <v>0</v>
      </c>
      <c r="BE51" s="66">
        <v>0</v>
      </c>
      <c r="BF51" s="179">
        <f>BD51-BE51</f>
        <v>0</v>
      </c>
      <c r="BG51" s="57">
        <f t="shared" ref="BG51:BG58" si="91">I51+L51+V51+AO51+AW51+AZ51+BD51+BA51</f>
        <v>14191000</v>
      </c>
      <c r="BH51" s="57">
        <f t="shared" si="80"/>
        <v>11633119</v>
      </c>
      <c r="BI51" s="57">
        <f t="shared" si="81"/>
        <v>2557881</v>
      </c>
      <c r="BJ51" s="55">
        <f t="shared" ref="BJ51:BJ58" si="92">L51+AL51+AF51</f>
        <v>8000000</v>
      </c>
      <c r="BK51" s="56">
        <f t="shared" ref="BK51:BK58" si="93">M51+AM51+AG51</f>
        <v>7067080</v>
      </c>
      <c r="BL51" s="84">
        <f t="shared" ref="BL51:BL58" si="94">N51+AN51+AH51</f>
        <v>932920</v>
      </c>
      <c r="BM51" s="55">
        <f t="shared" si="78"/>
        <v>6191000</v>
      </c>
      <c r="BN51" s="56">
        <f t="shared" ref="BN51:BN58" si="95">BH51-BK51</f>
        <v>4566039</v>
      </c>
      <c r="BO51" s="53">
        <f t="shared" ref="BO51:BO58" si="96">BI51-BL51</f>
        <v>1624961</v>
      </c>
    </row>
    <row r="52" spans="1:88" x14ac:dyDescent="0.25">
      <c r="A52" s="18"/>
      <c r="B52" s="10" t="s">
        <v>45</v>
      </c>
      <c r="C52" s="147">
        <v>0</v>
      </c>
      <c r="D52" s="147">
        <v>0</v>
      </c>
      <c r="E52" s="147">
        <f t="shared" ref="E52:E59" si="97">C52-D52</f>
        <v>0</v>
      </c>
      <c r="F52" s="56">
        <v>0</v>
      </c>
      <c r="G52" s="56">
        <v>0</v>
      </c>
      <c r="H52" s="84">
        <f t="shared" ref="H52:H58" si="98">F52-G52</f>
        <v>0</v>
      </c>
      <c r="I52" s="162">
        <f t="shared" si="88"/>
        <v>0</v>
      </c>
      <c r="J52" s="246">
        <f t="shared" si="88"/>
        <v>0</v>
      </c>
      <c r="K52" s="194">
        <f t="shared" si="88"/>
        <v>0</v>
      </c>
      <c r="L52" s="78">
        <v>0</v>
      </c>
      <c r="M52" s="66">
        <v>0</v>
      </c>
      <c r="N52" s="179">
        <v>0</v>
      </c>
      <c r="O52" s="57">
        <v>0</v>
      </c>
      <c r="P52" s="57">
        <v>0</v>
      </c>
      <c r="Q52" s="57">
        <f t="shared" ref="Q52:Q59" si="99">O52-P52</f>
        <v>0</v>
      </c>
      <c r="R52" s="56">
        <v>0</v>
      </c>
      <c r="S52" s="84">
        <v>0</v>
      </c>
      <c r="T52" s="84">
        <f t="shared" ref="T52:T59" si="100">R52-S52</f>
        <v>0</v>
      </c>
      <c r="U52" s="84">
        <v>0</v>
      </c>
      <c r="V52" s="163">
        <f t="shared" si="89"/>
        <v>0</v>
      </c>
      <c r="W52" s="163">
        <f t="shared" si="89"/>
        <v>0</v>
      </c>
      <c r="X52" s="89">
        <f t="shared" ref="X52:X58" si="101">V52-W52</f>
        <v>0</v>
      </c>
      <c r="Y52" s="66">
        <v>0</v>
      </c>
      <c r="Z52" s="56">
        <v>0</v>
      </c>
      <c r="AA52" s="66">
        <f t="shared" ref="AA52:AA58" si="102">Y52-Z52</f>
        <v>0</v>
      </c>
      <c r="AB52" s="78"/>
      <c r="AC52" s="89">
        <v>0</v>
      </c>
      <c r="AD52" s="89">
        <v>0</v>
      </c>
      <c r="AE52" s="89">
        <f t="shared" ref="AE52:AE58" si="103">AC52-AD52</f>
        <v>0</v>
      </c>
      <c r="AF52" s="66">
        <v>0</v>
      </c>
      <c r="AG52" s="78">
        <v>0</v>
      </c>
      <c r="AH52" s="78">
        <f t="shared" ref="AH52:AH58" si="104">AF52-AG52</f>
        <v>0</v>
      </c>
      <c r="AI52" s="115">
        <v>0</v>
      </c>
      <c r="AJ52" s="115">
        <v>0</v>
      </c>
      <c r="AK52" s="188">
        <f t="shared" ref="AK52:AK58" si="105">AI52-AJ52</f>
        <v>0</v>
      </c>
      <c r="AL52" s="56">
        <v>0</v>
      </c>
      <c r="AM52" s="56">
        <v>0</v>
      </c>
      <c r="AN52" s="84">
        <f t="shared" ref="AN52:AN59" si="106">AL52-AM52</f>
        <v>0</v>
      </c>
      <c r="AO52" s="163">
        <f t="shared" ref="AO52:AP59" si="107">Y52+AC52+AF52+AI52+AL52</f>
        <v>0</v>
      </c>
      <c r="AP52" s="66">
        <f t="shared" ref="AP52:AP56" si="108">Z52+AD52+AG52+AJ52+AM52</f>
        <v>0</v>
      </c>
      <c r="AQ52" s="179">
        <f t="shared" ref="AQ52:AQ58" si="109">AO52-AP52</f>
        <v>0</v>
      </c>
      <c r="AR52" s="57">
        <v>0</v>
      </c>
      <c r="AS52" s="57">
        <v>0</v>
      </c>
      <c r="AT52" s="57">
        <f t="shared" ref="AT52:AT58" si="110">AR52-AS52</f>
        <v>0</v>
      </c>
      <c r="AU52" s="56">
        <v>0</v>
      </c>
      <c r="AV52" s="84">
        <v>0</v>
      </c>
      <c r="AW52" s="163">
        <f t="shared" si="90"/>
        <v>0</v>
      </c>
      <c r="AX52" s="66">
        <f t="shared" si="90"/>
        <v>0</v>
      </c>
      <c r="AY52" s="179">
        <f t="shared" ref="AY52:AY59" si="111">AW52-AX52</f>
        <v>0</v>
      </c>
      <c r="AZ52" s="28">
        <v>0</v>
      </c>
      <c r="BA52" s="163">
        <v>0</v>
      </c>
      <c r="BB52" s="66">
        <v>0</v>
      </c>
      <c r="BC52" s="89">
        <f t="shared" ref="BC52:BC59" si="112">BA52-BB52</f>
        <v>0</v>
      </c>
      <c r="BD52" s="163">
        <v>0</v>
      </c>
      <c r="BE52" s="66">
        <v>0</v>
      </c>
      <c r="BF52" s="179">
        <f t="shared" ref="BF52:BF57" si="113">BD52-BE52</f>
        <v>0</v>
      </c>
      <c r="BG52" s="57">
        <f t="shared" si="91"/>
        <v>0</v>
      </c>
      <c r="BH52" s="57">
        <f t="shared" si="80"/>
        <v>0</v>
      </c>
      <c r="BI52" s="57">
        <f t="shared" si="81"/>
        <v>0</v>
      </c>
      <c r="BJ52" s="55">
        <f t="shared" si="92"/>
        <v>0</v>
      </c>
      <c r="BK52" s="56">
        <f t="shared" si="93"/>
        <v>0</v>
      </c>
      <c r="BL52" s="84">
        <f t="shared" si="94"/>
        <v>0</v>
      </c>
      <c r="BM52" s="55">
        <f t="shared" si="78"/>
        <v>0</v>
      </c>
      <c r="BN52" s="56">
        <f t="shared" si="95"/>
        <v>0</v>
      </c>
      <c r="BO52" s="53">
        <f t="shared" si="96"/>
        <v>0</v>
      </c>
      <c r="BT52" s="111"/>
    </row>
    <row r="53" spans="1:88" x14ac:dyDescent="0.25">
      <c r="A53" s="18"/>
      <c r="B53" s="10" t="s">
        <v>44</v>
      </c>
      <c r="C53" s="147">
        <v>0</v>
      </c>
      <c r="D53" s="147">
        <v>0</v>
      </c>
      <c r="E53" s="147">
        <f t="shared" si="97"/>
        <v>0</v>
      </c>
      <c r="F53" s="56">
        <v>0</v>
      </c>
      <c r="G53" s="56">
        <v>0</v>
      </c>
      <c r="H53" s="84">
        <f t="shared" si="98"/>
        <v>0</v>
      </c>
      <c r="I53" s="162">
        <f t="shared" si="88"/>
        <v>0</v>
      </c>
      <c r="J53" s="246">
        <f t="shared" si="88"/>
        <v>0</v>
      </c>
      <c r="K53" s="194">
        <f t="shared" si="88"/>
        <v>0</v>
      </c>
      <c r="L53" s="78">
        <v>0</v>
      </c>
      <c r="M53" s="66">
        <v>0</v>
      </c>
      <c r="N53" s="179">
        <v>0</v>
      </c>
      <c r="O53" s="57">
        <v>0</v>
      </c>
      <c r="P53" s="57">
        <v>0</v>
      </c>
      <c r="Q53" s="57">
        <f t="shared" si="99"/>
        <v>0</v>
      </c>
      <c r="R53" s="56">
        <v>0</v>
      </c>
      <c r="S53" s="84">
        <v>0</v>
      </c>
      <c r="T53" s="84">
        <f t="shared" si="100"/>
        <v>0</v>
      </c>
      <c r="U53" s="84">
        <v>0</v>
      </c>
      <c r="V53" s="163">
        <f t="shared" si="89"/>
        <v>0</v>
      </c>
      <c r="W53" s="163">
        <f t="shared" si="89"/>
        <v>0</v>
      </c>
      <c r="X53" s="89">
        <f t="shared" si="101"/>
        <v>0</v>
      </c>
      <c r="Y53" s="66">
        <v>0</v>
      </c>
      <c r="Z53" s="56">
        <v>0</v>
      </c>
      <c r="AA53" s="66">
        <f t="shared" si="102"/>
        <v>0</v>
      </c>
      <c r="AB53" s="78"/>
      <c r="AC53" s="89">
        <v>0</v>
      </c>
      <c r="AD53" s="89">
        <v>0</v>
      </c>
      <c r="AE53" s="89">
        <f t="shared" si="103"/>
        <v>0</v>
      </c>
      <c r="AF53" s="66">
        <v>0</v>
      </c>
      <c r="AG53" s="78">
        <v>0</v>
      </c>
      <c r="AH53" s="78">
        <f t="shared" si="104"/>
        <v>0</v>
      </c>
      <c r="AI53" s="115">
        <v>0</v>
      </c>
      <c r="AJ53" s="115">
        <v>0</v>
      </c>
      <c r="AK53" s="188">
        <f t="shared" si="105"/>
        <v>0</v>
      </c>
      <c r="AL53" s="56">
        <v>0</v>
      </c>
      <c r="AM53" s="56">
        <v>0</v>
      </c>
      <c r="AN53" s="84">
        <f t="shared" si="106"/>
        <v>0</v>
      </c>
      <c r="AO53" s="163">
        <f t="shared" si="107"/>
        <v>0</v>
      </c>
      <c r="AP53" s="66">
        <f t="shared" si="108"/>
        <v>0</v>
      </c>
      <c r="AQ53" s="179">
        <f t="shared" si="109"/>
        <v>0</v>
      </c>
      <c r="AR53" s="57">
        <v>500000</v>
      </c>
      <c r="AS53" s="57">
        <v>1701456</v>
      </c>
      <c r="AT53" s="57">
        <f t="shared" si="110"/>
        <v>-1201456</v>
      </c>
      <c r="AU53" s="56">
        <v>0</v>
      </c>
      <c r="AV53" s="84">
        <v>0</v>
      </c>
      <c r="AW53" s="163">
        <f t="shared" si="90"/>
        <v>500000</v>
      </c>
      <c r="AX53" s="66">
        <v>1701456</v>
      </c>
      <c r="AY53" s="179">
        <f t="shared" si="111"/>
        <v>-1201456</v>
      </c>
      <c r="AZ53" s="28">
        <v>0</v>
      </c>
      <c r="BA53" s="163">
        <v>0</v>
      </c>
      <c r="BB53" s="66">
        <v>0</v>
      </c>
      <c r="BC53" s="89">
        <f t="shared" si="112"/>
        <v>0</v>
      </c>
      <c r="BD53" s="163">
        <v>0</v>
      </c>
      <c r="BE53" s="66">
        <v>0</v>
      </c>
      <c r="BF53" s="179">
        <f t="shared" si="113"/>
        <v>0</v>
      </c>
      <c r="BG53" s="57">
        <f t="shared" si="91"/>
        <v>500000</v>
      </c>
      <c r="BH53" s="57">
        <f t="shared" si="80"/>
        <v>1701456</v>
      </c>
      <c r="BI53" s="57">
        <f t="shared" si="81"/>
        <v>-1201456</v>
      </c>
      <c r="BJ53" s="55">
        <f t="shared" si="92"/>
        <v>0</v>
      </c>
      <c r="BK53" s="56">
        <f t="shared" si="93"/>
        <v>0</v>
      </c>
      <c r="BL53" s="84">
        <f t="shared" si="94"/>
        <v>0</v>
      </c>
      <c r="BM53" s="55">
        <f t="shared" si="78"/>
        <v>500000</v>
      </c>
      <c r="BN53" s="56">
        <f t="shared" si="95"/>
        <v>1701456</v>
      </c>
      <c r="BO53" s="53">
        <f t="shared" si="96"/>
        <v>-1201456</v>
      </c>
      <c r="BT53" s="111"/>
    </row>
    <row r="54" spans="1:88" x14ac:dyDescent="0.25">
      <c r="A54" s="18"/>
      <c r="B54" s="10" t="s">
        <v>43</v>
      </c>
      <c r="C54" s="150">
        <v>4000000</v>
      </c>
      <c r="D54" s="150">
        <v>3474598</v>
      </c>
      <c r="E54" s="147">
        <f t="shared" si="97"/>
        <v>525402</v>
      </c>
      <c r="F54" s="153">
        <v>8400000</v>
      </c>
      <c r="G54" s="153">
        <v>2319148</v>
      </c>
      <c r="H54" s="84">
        <f t="shared" si="98"/>
        <v>6080852</v>
      </c>
      <c r="I54" s="162">
        <f t="shared" si="88"/>
        <v>12400000</v>
      </c>
      <c r="J54" s="246">
        <f>D54+G54</f>
        <v>5793746</v>
      </c>
      <c r="K54" s="194">
        <f t="shared" si="88"/>
        <v>6606254</v>
      </c>
      <c r="L54" s="78">
        <v>1000000</v>
      </c>
      <c r="M54" s="66">
        <v>1402668</v>
      </c>
      <c r="N54" s="179">
        <f>L54-M54</f>
        <v>-402668</v>
      </c>
      <c r="O54" s="57">
        <v>0</v>
      </c>
      <c r="P54" s="57">
        <v>0</v>
      </c>
      <c r="Q54" s="57">
        <f t="shared" si="99"/>
        <v>0</v>
      </c>
      <c r="R54" s="56">
        <v>0</v>
      </c>
      <c r="S54" s="84">
        <v>0</v>
      </c>
      <c r="T54" s="84">
        <f t="shared" si="100"/>
        <v>0</v>
      </c>
      <c r="U54" s="84">
        <v>0</v>
      </c>
      <c r="V54" s="163">
        <f t="shared" si="89"/>
        <v>0</v>
      </c>
      <c r="W54" s="163">
        <f t="shared" si="89"/>
        <v>0</v>
      </c>
      <c r="X54" s="89">
        <f t="shared" si="101"/>
        <v>0</v>
      </c>
      <c r="Y54" s="66">
        <v>0</v>
      </c>
      <c r="Z54" s="56">
        <v>320939</v>
      </c>
      <c r="AA54" s="66">
        <f t="shared" si="102"/>
        <v>-320939</v>
      </c>
      <c r="AB54" s="78"/>
      <c r="AC54" s="89">
        <v>0</v>
      </c>
      <c r="AD54" s="89">
        <v>177124</v>
      </c>
      <c r="AE54" s="89">
        <f t="shared" si="103"/>
        <v>-177124</v>
      </c>
      <c r="AF54" s="66">
        <v>0</v>
      </c>
      <c r="AG54" s="78">
        <v>52771</v>
      </c>
      <c r="AH54" s="78">
        <f t="shared" si="104"/>
        <v>-52771</v>
      </c>
      <c r="AI54" s="115">
        <v>0</v>
      </c>
      <c r="AJ54" s="115">
        <v>0</v>
      </c>
      <c r="AK54" s="188">
        <f t="shared" si="105"/>
        <v>0</v>
      </c>
      <c r="AL54" s="56">
        <v>0</v>
      </c>
      <c r="AM54" s="56">
        <v>0</v>
      </c>
      <c r="AN54" s="84">
        <f t="shared" si="106"/>
        <v>0</v>
      </c>
      <c r="AO54" s="163">
        <f t="shared" si="107"/>
        <v>0</v>
      </c>
      <c r="AP54" s="66">
        <f t="shared" si="108"/>
        <v>550834</v>
      </c>
      <c r="AQ54" s="179">
        <f t="shared" si="109"/>
        <v>-550834</v>
      </c>
      <c r="AR54" s="57">
        <v>0</v>
      </c>
      <c r="AS54" s="57">
        <v>0</v>
      </c>
      <c r="AT54" s="57">
        <f t="shared" si="110"/>
        <v>0</v>
      </c>
      <c r="AU54" s="56">
        <v>0</v>
      </c>
      <c r="AV54" s="84">
        <v>0</v>
      </c>
      <c r="AW54" s="163">
        <f t="shared" si="90"/>
        <v>0</v>
      </c>
      <c r="AX54" s="66">
        <f t="shared" si="90"/>
        <v>0</v>
      </c>
      <c r="AY54" s="179">
        <f t="shared" si="111"/>
        <v>0</v>
      </c>
      <c r="AZ54" s="28">
        <v>0</v>
      </c>
      <c r="BA54" s="163">
        <v>0</v>
      </c>
      <c r="BB54" s="66">
        <v>0</v>
      </c>
      <c r="BC54" s="89">
        <f t="shared" si="112"/>
        <v>0</v>
      </c>
      <c r="BD54" s="163">
        <v>0</v>
      </c>
      <c r="BE54" s="66">
        <v>0</v>
      </c>
      <c r="BF54" s="179">
        <f t="shared" si="113"/>
        <v>0</v>
      </c>
      <c r="BG54" s="57">
        <f t="shared" si="91"/>
        <v>13400000</v>
      </c>
      <c r="BH54" s="57">
        <f t="shared" si="80"/>
        <v>7747248</v>
      </c>
      <c r="BI54" s="57">
        <f t="shared" si="81"/>
        <v>5652752</v>
      </c>
      <c r="BJ54" s="55">
        <f t="shared" si="92"/>
        <v>1000000</v>
      </c>
      <c r="BK54" s="56">
        <f t="shared" si="93"/>
        <v>1455439</v>
      </c>
      <c r="BL54" s="84">
        <f t="shared" si="94"/>
        <v>-455439</v>
      </c>
      <c r="BM54" s="55">
        <f t="shared" si="78"/>
        <v>12400000</v>
      </c>
      <c r="BN54" s="56">
        <f t="shared" si="95"/>
        <v>6291809</v>
      </c>
      <c r="BO54" s="53">
        <f t="shared" si="96"/>
        <v>6108191</v>
      </c>
      <c r="BT54" s="111"/>
    </row>
    <row r="55" spans="1:88" x14ac:dyDescent="0.25">
      <c r="A55" s="18"/>
      <c r="B55" s="10" t="s">
        <v>42</v>
      </c>
      <c r="C55" s="150">
        <v>0</v>
      </c>
      <c r="D55" s="150">
        <v>0</v>
      </c>
      <c r="E55" s="147">
        <f t="shared" si="97"/>
        <v>0</v>
      </c>
      <c r="F55" s="153">
        <v>0</v>
      </c>
      <c r="G55" s="153">
        <v>0</v>
      </c>
      <c r="H55" s="84">
        <f t="shared" si="98"/>
        <v>0</v>
      </c>
      <c r="I55" s="162">
        <f t="shared" si="88"/>
        <v>0</v>
      </c>
      <c r="J55" s="246">
        <f t="shared" si="88"/>
        <v>0</v>
      </c>
      <c r="K55" s="194">
        <f t="shared" si="88"/>
        <v>0</v>
      </c>
      <c r="L55" s="78">
        <v>0</v>
      </c>
      <c r="M55" s="66">
        <v>0</v>
      </c>
      <c r="N55" s="179">
        <v>0</v>
      </c>
      <c r="O55" s="57">
        <v>0</v>
      </c>
      <c r="P55" s="57">
        <v>0</v>
      </c>
      <c r="Q55" s="57">
        <f t="shared" si="99"/>
        <v>0</v>
      </c>
      <c r="R55" s="56">
        <v>0</v>
      </c>
      <c r="S55" s="84">
        <v>0</v>
      </c>
      <c r="T55" s="84">
        <f t="shared" si="100"/>
        <v>0</v>
      </c>
      <c r="U55" s="84">
        <v>0</v>
      </c>
      <c r="V55" s="163">
        <f t="shared" si="89"/>
        <v>0</v>
      </c>
      <c r="W55" s="163">
        <f t="shared" si="89"/>
        <v>0</v>
      </c>
      <c r="X55" s="89">
        <f t="shared" si="101"/>
        <v>0</v>
      </c>
      <c r="Y55" s="66">
        <v>0</v>
      </c>
      <c r="Z55" s="56">
        <v>0</v>
      </c>
      <c r="AA55" s="66">
        <f t="shared" si="102"/>
        <v>0</v>
      </c>
      <c r="AB55" s="78"/>
      <c r="AC55" s="89">
        <v>0</v>
      </c>
      <c r="AD55" s="89">
        <v>0</v>
      </c>
      <c r="AE55" s="89">
        <f t="shared" si="103"/>
        <v>0</v>
      </c>
      <c r="AF55" s="66">
        <v>0</v>
      </c>
      <c r="AG55" s="78">
        <v>0</v>
      </c>
      <c r="AH55" s="78">
        <f t="shared" si="104"/>
        <v>0</v>
      </c>
      <c r="AI55" s="115">
        <v>0</v>
      </c>
      <c r="AJ55" s="115">
        <v>0</v>
      </c>
      <c r="AK55" s="188">
        <f t="shared" si="105"/>
        <v>0</v>
      </c>
      <c r="AL55" s="56">
        <v>0</v>
      </c>
      <c r="AM55" s="56">
        <v>0</v>
      </c>
      <c r="AN55" s="84">
        <f t="shared" si="106"/>
        <v>0</v>
      </c>
      <c r="AO55" s="163">
        <f t="shared" si="107"/>
        <v>0</v>
      </c>
      <c r="AP55" s="66">
        <f t="shared" si="108"/>
        <v>0</v>
      </c>
      <c r="AQ55" s="179">
        <f t="shared" si="109"/>
        <v>0</v>
      </c>
      <c r="AR55" s="57">
        <v>0</v>
      </c>
      <c r="AS55" s="57">
        <v>0</v>
      </c>
      <c r="AT55" s="57">
        <f t="shared" si="110"/>
        <v>0</v>
      </c>
      <c r="AU55" s="56">
        <v>0</v>
      </c>
      <c r="AV55" s="84">
        <v>0</v>
      </c>
      <c r="AW55" s="163">
        <f t="shared" si="90"/>
        <v>0</v>
      </c>
      <c r="AX55" s="66">
        <f t="shared" si="90"/>
        <v>0</v>
      </c>
      <c r="AY55" s="179">
        <f t="shared" si="111"/>
        <v>0</v>
      </c>
      <c r="AZ55" s="28">
        <v>0</v>
      </c>
      <c r="BA55" s="163">
        <v>0</v>
      </c>
      <c r="BB55" s="66">
        <v>0</v>
      </c>
      <c r="BC55" s="89">
        <f t="shared" si="112"/>
        <v>0</v>
      </c>
      <c r="BD55" s="163">
        <v>0</v>
      </c>
      <c r="BE55" s="66">
        <v>0</v>
      </c>
      <c r="BF55" s="179">
        <f t="shared" si="113"/>
        <v>0</v>
      </c>
      <c r="BG55" s="57">
        <f t="shared" si="91"/>
        <v>0</v>
      </c>
      <c r="BH55" s="57">
        <f t="shared" si="80"/>
        <v>0</v>
      </c>
      <c r="BI55" s="57">
        <f t="shared" si="81"/>
        <v>0</v>
      </c>
      <c r="BJ55" s="55">
        <f t="shared" si="92"/>
        <v>0</v>
      </c>
      <c r="BK55" s="56">
        <f t="shared" si="93"/>
        <v>0</v>
      </c>
      <c r="BL55" s="84">
        <f t="shared" si="94"/>
        <v>0</v>
      </c>
      <c r="BM55" s="55">
        <f t="shared" si="78"/>
        <v>0</v>
      </c>
      <c r="BN55" s="56">
        <f t="shared" si="95"/>
        <v>0</v>
      </c>
      <c r="BO55" s="53">
        <f t="shared" si="96"/>
        <v>0</v>
      </c>
      <c r="BS55" s="111"/>
      <c r="BT55" s="111"/>
    </row>
    <row r="56" spans="1:88" x14ac:dyDescent="0.25">
      <c r="A56" s="18"/>
      <c r="B56" s="244" t="s">
        <v>101</v>
      </c>
      <c r="C56" s="150"/>
      <c r="D56" s="150"/>
      <c r="E56" s="147"/>
      <c r="F56" s="153">
        <v>0</v>
      </c>
      <c r="G56" s="153">
        <v>546795</v>
      </c>
      <c r="H56" s="84">
        <f t="shared" si="98"/>
        <v>-546795</v>
      </c>
      <c r="I56" s="162">
        <v>0</v>
      </c>
      <c r="J56" s="246">
        <f t="shared" si="88"/>
        <v>546795</v>
      </c>
      <c r="K56" s="194">
        <f t="shared" si="88"/>
        <v>-546795</v>
      </c>
      <c r="L56" s="78">
        <v>0</v>
      </c>
      <c r="M56" s="66">
        <v>0</v>
      </c>
      <c r="N56" s="179">
        <v>0</v>
      </c>
      <c r="O56" s="57">
        <v>0</v>
      </c>
      <c r="P56" s="57">
        <v>0</v>
      </c>
      <c r="Q56" s="57">
        <f t="shared" si="99"/>
        <v>0</v>
      </c>
      <c r="R56" s="56">
        <v>0</v>
      </c>
      <c r="S56" s="84">
        <v>0</v>
      </c>
      <c r="T56" s="84">
        <f t="shared" si="100"/>
        <v>0</v>
      </c>
      <c r="U56" s="84"/>
      <c r="V56" s="163">
        <f t="shared" si="89"/>
        <v>0</v>
      </c>
      <c r="W56" s="163">
        <f t="shared" si="89"/>
        <v>0</v>
      </c>
      <c r="X56" s="89">
        <f t="shared" si="101"/>
        <v>0</v>
      </c>
      <c r="Y56" s="66">
        <v>0</v>
      </c>
      <c r="Z56" s="56">
        <f>3221712+9942871+3833+51115</f>
        <v>13219531</v>
      </c>
      <c r="AA56" s="66">
        <f t="shared" si="102"/>
        <v>-13219531</v>
      </c>
      <c r="AB56" s="78"/>
      <c r="AC56" s="89">
        <v>0</v>
      </c>
      <c r="AD56" s="89">
        <v>5</v>
      </c>
      <c r="AE56" s="89">
        <f t="shared" si="103"/>
        <v>-5</v>
      </c>
      <c r="AF56" s="66">
        <v>0</v>
      </c>
      <c r="AG56" s="241">
        <f>4+217000+2000</f>
        <v>219004</v>
      </c>
      <c r="AH56" s="78">
        <f t="shared" si="104"/>
        <v>-219004</v>
      </c>
      <c r="AI56" s="242">
        <v>0</v>
      </c>
      <c r="AJ56" s="115">
        <f>6297295+10</f>
        <v>6297305</v>
      </c>
      <c r="AK56" s="188">
        <f t="shared" si="105"/>
        <v>-6297305</v>
      </c>
      <c r="AL56" s="56">
        <v>0</v>
      </c>
      <c r="AM56" s="56">
        <v>0</v>
      </c>
      <c r="AN56" s="84">
        <f t="shared" si="106"/>
        <v>0</v>
      </c>
      <c r="AO56" s="163">
        <v>0</v>
      </c>
      <c r="AP56" s="66">
        <f t="shared" si="108"/>
        <v>19735845</v>
      </c>
      <c r="AQ56" s="179">
        <f t="shared" si="109"/>
        <v>-19735845</v>
      </c>
      <c r="AR56" s="57">
        <v>0</v>
      </c>
      <c r="AS56" s="57">
        <v>9</v>
      </c>
      <c r="AT56" s="57">
        <f t="shared" si="110"/>
        <v>-9</v>
      </c>
      <c r="AU56" s="56">
        <v>0</v>
      </c>
      <c r="AV56" s="84">
        <v>0</v>
      </c>
      <c r="AW56" s="163">
        <f t="shared" si="90"/>
        <v>0</v>
      </c>
      <c r="AX56" s="66">
        <f t="shared" si="90"/>
        <v>9</v>
      </c>
      <c r="AY56" s="179">
        <f t="shared" si="111"/>
        <v>-9</v>
      </c>
      <c r="AZ56" s="28">
        <v>0</v>
      </c>
      <c r="BA56" s="163">
        <v>0</v>
      </c>
      <c r="BB56" s="66">
        <v>0</v>
      </c>
      <c r="BC56" s="89">
        <f t="shared" si="112"/>
        <v>0</v>
      </c>
      <c r="BD56" s="163">
        <v>0</v>
      </c>
      <c r="BE56" s="66">
        <v>0</v>
      </c>
      <c r="BF56" s="179">
        <f t="shared" si="113"/>
        <v>0</v>
      </c>
      <c r="BG56" s="57">
        <f t="shared" si="91"/>
        <v>0</v>
      </c>
      <c r="BH56" s="57">
        <f t="shared" si="80"/>
        <v>20282649</v>
      </c>
      <c r="BI56" s="57">
        <f t="shared" si="81"/>
        <v>-20282649</v>
      </c>
      <c r="BJ56" s="55">
        <f t="shared" si="92"/>
        <v>0</v>
      </c>
      <c r="BK56" s="56">
        <f t="shared" si="93"/>
        <v>219004</v>
      </c>
      <c r="BL56" s="84">
        <f t="shared" si="94"/>
        <v>-219004</v>
      </c>
      <c r="BM56" s="55">
        <f t="shared" si="78"/>
        <v>0</v>
      </c>
      <c r="BN56" s="56">
        <f t="shared" si="95"/>
        <v>20063645</v>
      </c>
      <c r="BO56" s="53">
        <f t="shared" si="96"/>
        <v>-20063645</v>
      </c>
      <c r="BS56" s="111"/>
      <c r="BT56" s="111"/>
    </row>
    <row r="57" spans="1:88" x14ac:dyDescent="0.25">
      <c r="A57" s="18"/>
      <c r="B57" s="243" t="s">
        <v>100</v>
      </c>
      <c r="C57" s="247">
        <v>0</v>
      </c>
      <c r="D57" s="247">
        <v>0</v>
      </c>
      <c r="E57" s="248">
        <v>0</v>
      </c>
      <c r="F57" s="247">
        <v>0</v>
      </c>
      <c r="G57" s="247">
        <v>0</v>
      </c>
      <c r="H57" s="249">
        <f t="shared" si="98"/>
        <v>0</v>
      </c>
      <c r="I57" s="250">
        <f t="shared" si="88"/>
        <v>0</v>
      </c>
      <c r="J57" s="251">
        <f t="shared" si="88"/>
        <v>0</v>
      </c>
      <c r="K57" s="253">
        <f t="shared" si="88"/>
        <v>0</v>
      </c>
      <c r="L57" s="254">
        <v>0</v>
      </c>
      <c r="M57" s="251">
        <v>0</v>
      </c>
      <c r="N57" s="253">
        <v>0</v>
      </c>
      <c r="O57" s="252">
        <v>0</v>
      </c>
      <c r="P57" s="252">
        <v>0</v>
      </c>
      <c r="Q57" s="252">
        <f t="shared" si="99"/>
        <v>0</v>
      </c>
      <c r="R57" s="248">
        <v>0</v>
      </c>
      <c r="S57" s="249">
        <v>0</v>
      </c>
      <c r="T57" s="249">
        <f t="shared" si="100"/>
        <v>0</v>
      </c>
      <c r="U57" s="249"/>
      <c r="V57" s="250">
        <f t="shared" si="89"/>
        <v>0</v>
      </c>
      <c r="W57" s="250">
        <f t="shared" si="89"/>
        <v>0</v>
      </c>
      <c r="X57" s="255">
        <f t="shared" si="101"/>
        <v>0</v>
      </c>
      <c r="Y57" s="251">
        <v>0</v>
      </c>
      <c r="Z57" s="248">
        <v>1303467101</v>
      </c>
      <c r="AA57" s="251">
        <f t="shared" si="102"/>
        <v>-1303467101</v>
      </c>
      <c r="AB57" s="254"/>
      <c r="AC57" s="255">
        <v>0</v>
      </c>
      <c r="AD57" s="255">
        <v>0</v>
      </c>
      <c r="AE57" s="255">
        <f t="shared" si="103"/>
        <v>0</v>
      </c>
      <c r="AF57" s="251">
        <v>0</v>
      </c>
      <c r="AG57" s="256">
        <v>0</v>
      </c>
      <c r="AH57" s="78">
        <f t="shared" si="104"/>
        <v>0</v>
      </c>
      <c r="AI57" s="257">
        <v>0</v>
      </c>
      <c r="AJ57" s="258"/>
      <c r="AK57" s="259">
        <f t="shared" si="105"/>
        <v>0</v>
      </c>
      <c r="AL57" s="248">
        <v>0</v>
      </c>
      <c r="AM57" s="248">
        <v>0</v>
      </c>
      <c r="AN57" s="249">
        <f t="shared" si="106"/>
        <v>0</v>
      </c>
      <c r="AO57" s="250">
        <v>0</v>
      </c>
      <c r="AP57" s="251">
        <f t="shared" si="107"/>
        <v>1303467101</v>
      </c>
      <c r="AQ57" s="179"/>
      <c r="AR57" s="252">
        <v>0</v>
      </c>
      <c r="AS57" s="252">
        <v>0</v>
      </c>
      <c r="AT57" s="252">
        <f t="shared" si="110"/>
        <v>0</v>
      </c>
      <c r="AU57" s="56">
        <v>0</v>
      </c>
      <c r="AV57" s="84">
        <v>0</v>
      </c>
      <c r="AW57" s="250">
        <f t="shared" si="90"/>
        <v>0</v>
      </c>
      <c r="AX57" s="251">
        <f t="shared" si="90"/>
        <v>0</v>
      </c>
      <c r="AY57" s="253">
        <f t="shared" si="111"/>
        <v>0</v>
      </c>
      <c r="AZ57" s="28">
        <v>0</v>
      </c>
      <c r="BA57" s="250">
        <v>0</v>
      </c>
      <c r="BB57" s="251">
        <v>0</v>
      </c>
      <c r="BC57" s="255">
        <f t="shared" si="112"/>
        <v>0</v>
      </c>
      <c r="BD57" s="250">
        <v>0</v>
      </c>
      <c r="BE57" s="251">
        <v>0</v>
      </c>
      <c r="BF57" s="253">
        <f t="shared" si="113"/>
        <v>0</v>
      </c>
      <c r="BG57" s="57">
        <f t="shared" si="91"/>
        <v>0</v>
      </c>
      <c r="BH57" s="57">
        <f t="shared" si="80"/>
        <v>1303467101</v>
      </c>
      <c r="BI57" s="57">
        <f t="shared" si="81"/>
        <v>0</v>
      </c>
      <c r="BJ57" s="55">
        <f t="shared" si="92"/>
        <v>0</v>
      </c>
      <c r="BK57" s="56">
        <f t="shared" si="93"/>
        <v>0</v>
      </c>
      <c r="BL57" s="84">
        <f t="shared" si="94"/>
        <v>0</v>
      </c>
      <c r="BM57" s="55">
        <f t="shared" si="78"/>
        <v>0</v>
      </c>
      <c r="BN57" s="56">
        <f t="shared" si="95"/>
        <v>1303467101</v>
      </c>
      <c r="BO57" s="53">
        <f t="shared" si="96"/>
        <v>0</v>
      </c>
      <c r="BS57" s="111"/>
      <c r="BT57" s="111"/>
    </row>
    <row r="58" spans="1:88" ht="16.5" thickBot="1" x14ac:dyDescent="0.3">
      <c r="A58" s="18"/>
      <c r="B58" s="141" t="s">
        <v>41</v>
      </c>
      <c r="C58" s="299">
        <v>0</v>
      </c>
      <c r="D58" s="299">
        <v>0</v>
      </c>
      <c r="E58" s="299">
        <f t="shared" si="97"/>
        <v>0</v>
      </c>
      <c r="F58" s="299">
        <v>0</v>
      </c>
      <c r="G58" s="299">
        <v>0</v>
      </c>
      <c r="H58" s="300">
        <f t="shared" si="98"/>
        <v>0</v>
      </c>
      <c r="I58" s="301">
        <f t="shared" si="88"/>
        <v>0</v>
      </c>
      <c r="J58" s="302">
        <f t="shared" si="88"/>
        <v>0</v>
      </c>
      <c r="K58" s="303">
        <f t="shared" si="88"/>
        <v>0</v>
      </c>
      <c r="L58" s="304">
        <v>0</v>
      </c>
      <c r="M58" s="302">
        <v>0</v>
      </c>
      <c r="N58" s="303">
        <v>0</v>
      </c>
      <c r="O58" s="305">
        <v>0</v>
      </c>
      <c r="P58" s="305">
        <v>0</v>
      </c>
      <c r="Q58" s="305">
        <f t="shared" si="99"/>
        <v>0</v>
      </c>
      <c r="R58" s="299">
        <v>0</v>
      </c>
      <c r="S58" s="300">
        <v>0</v>
      </c>
      <c r="T58" s="300">
        <f t="shared" si="100"/>
        <v>0</v>
      </c>
      <c r="U58" s="300">
        <v>0</v>
      </c>
      <c r="V58" s="301">
        <f t="shared" si="89"/>
        <v>0</v>
      </c>
      <c r="W58" s="301">
        <f t="shared" si="89"/>
        <v>0</v>
      </c>
      <c r="X58" s="306">
        <f t="shared" si="101"/>
        <v>0</v>
      </c>
      <c r="Y58" s="299">
        <v>0</v>
      </c>
      <c r="Z58" s="299">
        <v>0</v>
      </c>
      <c r="AA58" s="302">
        <f t="shared" si="102"/>
        <v>0</v>
      </c>
      <c r="AB58" s="305"/>
      <c r="AC58" s="300">
        <v>0</v>
      </c>
      <c r="AD58" s="300">
        <v>0</v>
      </c>
      <c r="AE58" s="306">
        <f t="shared" si="103"/>
        <v>0</v>
      </c>
      <c r="AF58" s="299">
        <v>0</v>
      </c>
      <c r="AG58" s="307">
        <v>0</v>
      </c>
      <c r="AH58" s="304">
        <f t="shared" si="104"/>
        <v>0</v>
      </c>
      <c r="AI58" s="308">
        <v>0</v>
      </c>
      <c r="AJ58" s="309"/>
      <c r="AK58" s="310">
        <f t="shared" si="105"/>
        <v>0</v>
      </c>
      <c r="AL58" s="299">
        <v>0</v>
      </c>
      <c r="AM58" s="299">
        <v>0</v>
      </c>
      <c r="AN58" s="300">
        <f t="shared" si="106"/>
        <v>0</v>
      </c>
      <c r="AO58" s="301">
        <f t="shared" si="107"/>
        <v>0</v>
      </c>
      <c r="AP58" s="302">
        <f t="shared" si="107"/>
        <v>0</v>
      </c>
      <c r="AQ58" s="303">
        <f t="shared" si="109"/>
        <v>0</v>
      </c>
      <c r="AR58" s="305">
        <v>0</v>
      </c>
      <c r="AS58" s="305">
        <v>0</v>
      </c>
      <c r="AT58" s="305">
        <f t="shared" si="110"/>
        <v>0</v>
      </c>
      <c r="AU58" s="299">
        <v>0</v>
      </c>
      <c r="AV58" s="300">
        <v>0</v>
      </c>
      <c r="AW58" s="301">
        <f t="shared" si="90"/>
        <v>0</v>
      </c>
      <c r="AX58" s="302">
        <f t="shared" si="90"/>
        <v>0</v>
      </c>
      <c r="AY58" s="303">
        <f t="shared" si="111"/>
        <v>0</v>
      </c>
      <c r="AZ58" s="311">
        <v>0</v>
      </c>
      <c r="BA58" s="301">
        <v>0</v>
      </c>
      <c r="BB58" s="302">
        <v>0</v>
      </c>
      <c r="BC58" s="306">
        <f t="shared" si="112"/>
        <v>0</v>
      </c>
      <c r="BD58" s="301">
        <v>15500000</v>
      </c>
      <c r="BE58" s="302">
        <v>17500000</v>
      </c>
      <c r="BF58" s="303">
        <f>BD58-BE58</f>
        <v>-2000000</v>
      </c>
      <c r="BG58" s="57">
        <f t="shared" si="91"/>
        <v>15500000</v>
      </c>
      <c r="BH58" s="57">
        <f t="shared" si="80"/>
        <v>17500000</v>
      </c>
      <c r="BI58" s="57">
        <f t="shared" si="81"/>
        <v>-2000000</v>
      </c>
      <c r="BJ58" s="55">
        <f t="shared" si="92"/>
        <v>0</v>
      </c>
      <c r="BK58" s="56">
        <f t="shared" si="93"/>
        <v>0</v>
      </c>
      <c r="BL58" s="84">
        <f t="shared" si="94"/>
        <v>0</v>
      </c>
      <c r="BM58" s="55">
        <f t="shared" si="78"/>
        <v>15500000</v>
      </c>
      <c r="BN58" s="56">
        <f t="shared" si="95"/>
        <v>17500000</v>
      </c>
      <c r="BO58" s="53">
        <f t="shared" si="96"/>
        <v>-2000000</v>
      </c>
      <c r="BS58" s="111"/>
      <c r="BT58" s="111"/>
    </row>
    <row r="59" spans="1:88" ht="21.75" thickBot="1" x14ac:dyDescent="0.4">
      <c r="A59" s="18"/>
      <c r="B59" s="142" t="s">
        <v>40</v>
      </c>
      <c r="C59" s="62">
        <f>C51+C52+C53+C54+C55+C58</f>
        <v>4000000</v>
      </c>
      <c r="D59" s="62">
        <f>D51+D52+D53+D54+D55+D58</f>
        <v>3474598</v>
      </c>
      <c r="E59" s="62">
        <f t="shared" si="97"/>
        <v>525402</v>
      </c>
      <c r="F59" s="62">
        <f>SUM(F51:F58)</f>
        <v>12591000</v>
      </c>
      <c r="G59" s="62">
        <f>SUM(G51:G58)</f>
        <v>4349943</v>
      </c>
      <c r="H59" s="85">
        <f>SUM(H51:H58)</f>
        <v>8241057</v>
      </c>
      <c r="I59" s="34">
        <f>SUM(I51:I58)</f>
        <v>16591000</v>
      </c>
      <c r="J59" s="62">
        <f>SUM(J51:J58)</f>
        <v>7824541</v>
      </c>
      <c r="K59" s="33">
        <f>I59-J59</f>
        <v>8766459</v>
      </c>
      <c r="L59" s="170">
        <f>L51+L52+L53+L54+L55+L58</f>
        <v>1000000</v>
      </c>
      <c r="M59" s="62">
        <f>SUM(M50:M58)</f>
        <v>1402668</v>
      </c>
      <c r="N59" s="33">
        <f>N54</f>
        <v>-402668</v>
      </c>
      <c r="O59" s="171">
        <f>SUM(O51:O58)</f>
        <v>0</v>
      </c>
      <c r="P59" s="171">
        <v>0</v>
      </c>
      <c r="Q59" s="171">
        <f t="shared" si="99"/>
        <v>0</v>
      </c>
      <c r="R59" s="17">
        <f t="shared" ref="R59:AM59" si="114">R51+R52+R53+R54+R55+R58</f>
        <v>0</v>
      </c>
      <c r="S59" s="17">
        <f t="shared" si="114"/>
        <v>0</v>
      </c>
      <c r="T59" s="17">
        <f t="shared" si="100"/>
        <v>0</v>
      </c>
      <c r="U59" s="50">
        <f t="shared" si="114"/>
        <v>0</v>
      </c>
      <c r="V59" s="17">
        <f t="shared" si="89"/>
        <v>0</v>
      </c>
      <c r="W59" s="17">
        <f t="shared" si="89"/>
        <v>0</v>
      </c>
      <c r="X59" s="50">
        <f>V59-W59</f>
        <v>0</v>
      </c>
      <c r="Y59" s="50">
        <f t="shared" si="114"/>
        <v>2000000</v>
      </c>
      <c r="Z59" s="50">
        <f>Z51+Z52+Z53+Z54+Z55+Z56+Z58</f>
        <v>16551643</v>
      </c>
      <c r="AA59" s="50">
        <f t="shared" ref="AA59" si="115">Y59-Z59</f>
        <v>-14551643</v>
      </c>
      <c r="AB59" s="73"/>
      <c r="AC59" s="79">
        <f>AC51+AC52+AC53+AC54+AC55+AC58</f>
        <v>0</v>
      </c>
      <c r="AD59" s="79">
        <f>SUM(AD51:AD58)</f>
        <v>247995</v>
      </c>
      <c r="AE59" s="119">
        <f>SUM(AE51:AE58)</f>
        <v>-247995</v>
      </c>
      <c r="AF59" s="17">
        <f t="shared" si="114"/>
        <v>8000000</v>
      </c>
      <c r="AG59" s="17">
        <f>SUM(AG51:AG58)</f>
        <v>7338855</v>
      </c>
      <c r="AH59" s="73">
        <f>AF59-AG59</f>
        <v>661145</v>
      </c>
      <c r="AI59" s="73">
        <f t="shared" si="114"/>
        <v>0</v>
      </c>
      <c r="AJ59" s="73">
        <f>AJ51+AJ52+AJ53+AJ54+AJ55+AJ56+AJ57+AJ58</f>
        <v>6297305</v>
      </c>
      <c r="AK59" s="73">
        <f>AK51+AK52+AK53+AK54+AK55+AK56+AK57+AK58</f>
        <v>-6297305</v>
      </c>
      <c r="AL59" s="328">
        <f t="shared" si="114"/>
        <v>0</v>
      </c>
      <c r="AM59" s="62">
        <f t="shared" si="114"/>
        <v>0</v>
      </c>
      <c r="AN59" s="84">
        <f t="shared" si="106"/>
        <v>0</v>
      </c>
      <c r="AO59" s="34">
        <f t="shared" si="107"/>
        <v>10000000</v>
      </c>
      <c r="AP59" s="62">
        <f>AP51+AP52+AP53+AP54+AP55+AP56+AP58</f>
        <v>30435798</v>
      </c>
      <c r="AQ59" s="33">
        <f>SUM(AQ50:AQ58)</f>
        <v>-20435798</v>
      </c>
      <c r="AR59" s="73">
        <f>AR51+AR52+AR53+AR54+AR55+AR58</f>
        <v>500000</v>
      </c>
      <c r="AS59" s="73">
        <f>SUM(AS53:AS58)</f>
        <v>1701465</v>
      </c>
      <c r="AT59" s="73">
        <f>SUM(AT53:AT58)</f>
        <v>-1201465</v>
      </c>
      <c r="AU59" s="54">
        <f>AU51+AU52+AU53+AU54+AU55+AU58</f>
        <v>0</v>
      </c>
      <c r="AV59" s="79">
        <f>AV51+AV52+AV53+AV54+AV55+AV58</f>
        <v>0</v>
      </c>
      <c r="AW59" s="34">
        <f t="shared" si="90"/>
        <v>500000</v>
      </c>
      <c r="AX59" s="62">
        <f>SUM(AX53:AX58)</f>
        <v>1701465</v>
      </c>
      <c r="AY59" s="33">
        <f t="shared" si="111"/>
        <v>-1201465</v>
      </c>
      <c r="AZ59" s="119">
        <f>SUM(AZ50:AZ58)</f>
        <v>0</v>
      </c>
      <c r="BA59" s="34">
        <f>BA51+BA52+BA53+BA54+BA55+BA58</f>
        <v>0</v>
      </c>
      <c r="BB59" s="62">
        <f>BB51+BB52+BB53+BB54+BB55+BB58</f>
        <v>0</v>
      </c>
      <c r="BC59" s="85">
        <f t="shared" si="112"/>
        <v>0</v>
      </c>
      <c r="BD59" s="34">
        <f>BD51+BD52+BD53+BD55+BD58+BD54</f>
        <v>15500000</v>
      </c>
      <c r="BE59" s="62">
        <f>BE51+BE52+BE53+BE55+BE58+BE54</f>
        <v>17500000</v>
      </c>
      <c r="BF59" s="33">
        <f>BF51+BF52+BF53+BF55+BF58+BF54</f>
        <v>-2000000</v>
      </c>
      <c r="BG59" s="296">
        <f>BG50+BG51+BG52+BG53+BG54+BG55+BG58</f>
        <v>43591000</v>
      </c>
      <c r="BH59" s="297">
        <f>BH51+BH52+BH53++BH54+BH55+BH56+BH58</f>
        <v>58864472</v>
      </c>
      <c r="BI59" s="363">
        <f>SUM(BI51:BI58)</f>
        <v>-15273472</v>
      </c>
      <c r="BJ59" s="165">
        <f t="shared" ref="BJ59" si="116">L59+AF59+AL59+AZ59</f>
        <v>9000000</v>
      </c>
      <c r="BK59" s="149">
        <f>SUM(BK51:BK58)</f>
        <v>8741523</v>
      </c>
      <c r="BL59" s="158">
        <f t="shared" ref="BL59" si="117">BJ59-BK59</f>
        <v>258477</v>
      </c>
      <c r="BM59" s="165">
        <f t="shared" si="78"/>
        <v>34591000</v>
      </c>
      <c r="BN59" s="149">
        <f t="shared" ref="BN59:BN61" si="118">BH59-BK59</f>
        <v>50122949</v>
      </c>
      <c r="BO59" s="181">
        <f t="shared" ref="BO59:BO61" si="119">BI59-BL59</f>
        <v>-15531949</v>
      </c>
      <c r="BS59" s="111"/>
      <c r="BT59" s="111"/>
    </row>
    <row r="60" spans="1:88" s="202" customFormat="1" ht="42.75" thickBot="1" x14ac:dyDescent="0.4">
      <c r="A60" s="200"/>
      <c r="B60" s="143" t="s">
        <v>1</v>
      </c>
      <c r="C60" s="405">
        <f>C47+C49-C59</f>
        <v>74229645.492505968</v>
      </c>
      <c r="D60" s="405">
        <f t="shared" ref="D60:BO60" si="120">D47+D49-D59</f>
        <v>66566696.138637558</v>
      </c>
      <c r="E60" s="405">
        <f t="shared" si="120"/>
        <v>7662949.3538684137</v>
      </c>
      <c r="F60" s="405">
        <f t="shared" si="120"/>
        <v>58991705.920000002</v>
      </c>
      <c r="G60" s="405">
        <f t="shared" si="120"/>
        <v>54303225.909932248</v>
      </c>
      <c r="H60" s="406">
        <f t="shared" si="120"/>
        <v>4688480.0100677498</v>
      </c>
      <c r="I60" s="407">
        <f t="shared" si="120"/>
        <v>132181851.13111317</v>
      </c>
      <c r="J60" s="408">
        <f t="shared" si="120"/>
        <v>120869922.04856981</v>
      </c>
      <c r="K60" s="409">
        <f t="shared" si="120"/>
        <v>11311929.082543377</v>
      </c>
      <c r="L60" s="410">
        <f t="shared" si="120"/>
        <v>49279656.086835906</v>
      </c>
      <c r="M60" s="410">
        <f t="shared" si="120"/>
        <v>36724219.6351825</v>
      </c>
      <c r="N60" s="411">
        <f t="shared" si="120"/>
        <v>12555436.45165341</v>
      </c>
      <c r="O60" s="412">
        <f t="shared" si="120"/>
        <v>248010.49661401138</v>
      </c>
      <c r="P60" s="412">
        <f t="shared" si="120"/>
        <v>242123.12935407122</v>
      </c>
      <c r="Q60" s="412">
        <f t="shared" si="120"/>
        <v>5887.3672599401616</v>
      </c>
      <c r="R60" s="413">
        <f t="shared" si="120"/>
        <v>45132727.991842903</v>
      </c>
      <c r="S60" s="414">
        <f t="shared" si="120"/>
        <v>43238105.14836932</v>
      </c>
      <c r="T60" s="415">
        <f t="shared" si="120"/>
        <v>1894622.843473576</v>
      </c>
      <c r="U60" s="415">
        <f t="shared" si="120"/>
        <v>0</v>
      </c>
      <c r="V60" s="416">
        <f t="shared" si="120"/>
        <v>45380738.488456912</v>
      </c>
      <c r="W60" s="416">
        <f t="shared" si="120"/>
        <v>43480228.277723394</v>
      </c>
      <c r="X60" s="417">
        <f t="shared" si="120"/>
        <v>1900510.2107335161</v>
      </c>
      <c r="Y60" s="418">
        <f t="shared" si="120"/>
        <v>290110292.51470023</v>
      </c>
      <c r="Z60" s="418">
        <f t="shared" si="120"/>
        <v>237129975.10653105</v>
      </c>
      <c r="AA60" s="418">
        <f t="shared" si="120"/>
        <v>52980317.408169195</v>
      </c>
      <c r="AB60" s="419">
        <f t="shared" si="120"/>
        <v>0</v>
      </c>
      <c r="AC60" s="420">
        <f t="shared" si="120"/>
        <v>183887706.6043573</v>
      </c>
      <c r="AD60" s="420">
        <f t="shared" si="120"/>
        <v>161191619.771512</v>
      </c>
      <c r="AE60" s="421">
        <f t="shared" si="120"/>
        <v>22696086.832845308</v>
      </c>
      <c r="AF60" s="421">
        <f t="shared" si="120"/>
        <v>124702266.87703829</v>
      </c>
      <c r="AG60" s="421">
        <f t="shared" si="120"/>
        <v>105514512.38086447</v>
      </c>
      <c r="AH60" s="420">
        <f t="shared" si="120"/>
        <v>19187754.496173818</v>
      </c>
      <c r="AI60" s="419">
        <f t="shared" si="120"/>
        <v>239801698.457537</v>
      </c>
      <c r="AJ60" s="419">
        <f t="shared" si="120"/>
        <v>228693767.80261552</v>
      </c>
      <c r="AK60" s="420">
        <f t="shared" si="120"/>
        <v>11107930.654921502</v>
      </c>
      <c r="AL60" s="422">
        <f t="shared" si="120"/>
        <v>15681520.763637628</v>
      </c>
      <c r="AM60" s="410">
        <f t="shared" si="120"/>
        <v>13774311.684532538</v>
      </c>
      <c r="AN60" s="417">
        <f t="shared" si="120"/>
        <v>1907209.0791050899</v>
      </c>
      <c r="AO60" s="423">
        <f t="shared" si="120"/>
        <v>854183485.21727061</v>
      </c>
      <c r="AP60" s="405">
        <f t="shared" si="120"/>
        <v>746304186.7460556</v>
      </c>
      <c r="AQ60" s="424">
        <f t="shared" si="120"/>
        <v>107879298.47121492</v>
      </c>
      <c r="AR60" s="425">
        <f t="shared" si="120"/>
        <v>239498477.36681536</v>
      </c>
      <c r="AS60" s="425">
        <f t="shared" si="120"/>
        <v>229578166.62985334</v>
      </c>
      <c r="AT60" s="425">
        <f t="shared" si="120"/>
        <v>9920310.7369620129</v>
      </c>
      <c r="AU60" s="425">
        <f t="shared" si="120"/>
        <v>0</v>
      </c>
      <c r="AV60" s="426">
        <f t="shared" si="120"/>
        <v>0</v>
      </c>
      <c r="AW60" s="416">
        <f t="shared" si="120"/>
        <v>239498477.36681536</v>
      </c>
      <c r="AX60" s="416">
        <f t="shared" si="120"/>
        <v>229578166.62985334</v>
      </c>
      <c r="AY60" s="416">
        <f t="shared" si="120"/>
        <v>9920310.7369620129</v>
      </c>
      <c r="AZ60" s="420">
        <f t="shared" si="120"/>
        <v>0</v>
      </c>
      <c r="BA60" s="416">
        <f t="shared" si="120"/>
        <v>1364894</v>
      </c>
      <c r="BB60" s="418">
        <f t="shared" si="120"/>
        <v>1364894</v>
      </c>
      <c r="BC60" s="417">
        <f t="shared" si="120"/>
        <v>0</v>
      </c>
      <c r="BD60" s="416">
        <f t="shared" si="120"/>
        <v>29289605.859508194</v>
      </c>
      <c r="BE60" s="418">
        <f t="shared" si="120"/>
        <v>24809376.662615396</v>
      </c>
      <c r="BF60" s="404">
        <f t="shared" si="120"/>
        <v>4480229.1968928007</v>
      </c>
      <c r="BG60" s="404">
        <f t="shared" si="120"/>
        <v>1351178708.1499999</v>
      </c>
      <c r="BH60" s="404">
        <f t="shared" si="120"/>
        <v>1203130994</v>
      </c>
      <c r="BI60" s="417">
        <f t="shared" si="120"/>
        <v>149412608.15000001</v>
      </c>
      <c r="BJ60" s="416">
        <f t="shared" si="120"/>
        <v>189628261.63156304</v>
      </c>
      <c r="BK60" s="418">
        <f t="shared" si="120"/>
        <v>154913510.89654988</v>
      </c>
      <c r="BL60" s="417">
        <f t="shared" si="120"/>
        <v>34714750.735013127</v>
      </c>
      <c r="BM60" s="416">
        <f t="shared" si="120"/>
        <v>1161550446.5184369</v>
      </c>
      <c r="BN60" s="418">
        <f t="shared" si="120"/>
        <v>1048217483.1034501</v>
      </c>
      <c r="BO60" s="404">
        <f t="shared" si="120"/>
        <v>114697857.41498688</v>
      </c>
      <c r="BP60" s="120"/>
      <c r="BQ60" s="120"/>
      <c r="BR60" s="120"/>
      <c r="BS60" s="201"/>
      <c r="BT60" s="366"/>
      <c r="BU60" s="120"/>
      <c r="BV60" s="120"/>
      <c r="BW60" s="120"/>
      <c r="BX60" s="120"/>
      <c r="BY60" s="120"/>
      <c r="BZ60" s="120"/>
      <c r="CA60" s="120"/>
      <c r="CB60" s="120"/>
      <c r="CC60" s="120"/>
      <c r="CD60" s="120"/>
      <c r="CE60" s="120"/>
      <c r="CF60" s="120"/>
      <c r="CG60" s="120"/>
      <c r="CH60" s="120"/>
      <c r="CI60" s="120"/>
      <c r="CJ60" s="120"/>
    </row>
    <row r="61" spans="1:88" s="15" customFormat="1" ht="16.5" thickBot="1" x14ac:dyDescent="0.3">
      <c r="A61" s="16"/>
      <c r="B61" s="144" t="s">
        <v>110</v>
      </c>
      <c r="C61" s="151">
        <v>3</v>
      </c>
      <c r="D61" s="151">
        <v>2</v>
      </c>
      <c r="E61" s="151">
        <f>C61-D61</f>
        <v>1</v>
      </c>
      <c r="F61" s="151">
        <v>2</v>
      </c>
      <c r="G61" s="151">
        <v>2</v>
      </c>
      <c r="H61" s="159">
        <f>F61-G61</f>
        <v>0</v>
      </c>
      <c r="I61" s="260">
        <f>C61+F61</f>
        <v>5</v>
      </c>
      <c r="J61" s="261">
        <f>D61+G61</f>
        <v>4</v>
      </c>
      <c r="K61" s="347">
        <f>I61-J61</f>
        <v>1</v>
      </c>
      <c r="L61" s="166">
        <v>1</v>
      </c>
      <c r="M61" s="151">
        <v>1</v>
      </c>
      <c r="N61" s="182">
        <f>L61-M61</f>
        <v>0</v>
      </c>
      <c r="O61" s="99">
        <v>0</v>
      </c>
      <c r="P61" s="99">
        <v>0</v>
      </c>
      <c r="Q61" s="99">
        <v>0</v>
      </c>
      <c r="R61" s="99">
        <v>3</v>
      </c>
      <c r="S61" s="100">
        <v>3</v>
      </c>
      <c r="T61" s="100">
        <f>R61-S61</f>
        <v>0</v>
      </c>
      <c r="U61" s="100">
        <v>0</v>
      </c>
      <c r="V61" s="166">
        <f>O61+R61</f>
        <v>3</v>
      </c>
      <c r="W61" s="166">
        <f>P61+S61</f>
        <v>3</v>
      </c>
      <c r="X61" s="182">
        <f>V61-W61</f>
        <v>0</v>
      </c>
      <c r="Y61" s="166">
        <v>19</v>
      </c>
      <c r="Z61" s="166">
        <v>19</v>
      </c>
      <c r="AA61" s="182">
        <f>Y61-Z61</f>
        <v>0</v>
      </c>
      <c r="AB61" s="98"/>
      <c r="AC61" s="65">
        <f>5+6</f>
        <v>11</v>
      </c>
      <c r="AD61" s="3">
        <v>11</v>
      </c>
      <c r="AE61" s="3">
        <f>AC61-AD61</f>
        <v>0</v>
      </c>
      <c r="AF61" s="114">
        <v>10</v>
      </c>
      <c r="AG61" s="98">
        <v>8</v>
      </c>
      <c r="AH61" s="98">
        <f>AF61-AG61</f>
        <v>2</v>
      </c>
      <c r="AI61" s="98">
        <v>8</v>
      </c>
      <c r="AJ61" s="98">
        <v>7</v>
      </c>
      <c r="AK61" s="3">
        <f>AI61-AJ61</f>
        <v>1</v>
      </c>
      <c r="AL61" s="151">
        <v>1</v>
      </c>
      <c r="AM61" s="151">
        <v>1</v>
      </c>
      <c r="AN61" s="159">
        <f>AL61-AM61</f>
        <v>0</v>
      </c>
      <c r="AO61" s="166">
        <f>Y61+AC61+AF61+AI61+AL61</f>
        <v>49</v>
      </c>
      <c r="AP61" s="166">
        <f>Z61+AD61+AG61+AJ61+AM61</f>
        <v>46</v>
      </c>
      <c r="AQ61" s="182">
        <f>AO61-AP61</f>
        <v>3</v>
      </c>
      <c r="AR61" s="98">
        <v>14</v>
      </c>
      <c r="AS61" s="329">
        <v>14</v>
      </c>
      <c r="AT61" s="98">
        <f>AR61-AS61</f>
        <v>0</v>
      </c>
      <c r="AU61" s="98"/>
      <c r="AV61" s="3"/>
      <c r="AW61" s="166">
        <f>AR61</f>
        <v>14</v>
      </c>
      <c r="AX61" s="166">
        <f>AS61</f>
        <v>14</v>
      </c>
      <c r="AY61" s="166">
        <f>AT61</f>
        <v>0</v>
      </c>
      <c r="AZ61" s="3"/>
      <c r="BA61" s="166"/>
      <c r="BB61" s="151"/>
      <c r="BC61" s="159"/>
      <c r="BD61" s="166">
        <v>4</v>
      </c>
      <c r="BE61" s="151">
        <v>4</v>
      </c>
      <c r="BF61" s="182">
        <f>BD61-BE61</f>
        <v>0</v>
      </c>
      <c r="BG61" s="280">
        <f>I61+L61+V61+AO61+AW61+BD61</f>
        <v>76</v>
      </c>
      <c r="BH61" s="280">
        <f>J61+M61+W61+AP61+AX61+BE61</f>
        <v>72</v>
      </c>
      <c r="BI61" s="159">
        <f>BG61-BH61</f>
        <v>4</v>
      </c>
      <c r="BJ61" s="166">
        <f>AF61+AL61</f>
        <v>11</v>
      </c>
      <c r="BK61" s="151">
        <f>AG61+AM61</f>
        <v>9</v>
      </c>
      <c r="BL61" s="159">
        <f>AH61+AN61</f>
        <v>2</v>
      </c>
      <c r="BM61" s="166">
        <f t="shared" si="78"/>
        <v>65</v>
      </c>
      <c r="BN61" s="151">
        <f t="shared" si="118"/>
        <v>63</v>
      </c>
      <c r="BO61" s="182">
        <f t="shared" si="119"/>
        <v>2</v>
      </c>
      <c r="BP61" s="376" t="s">
        <v>120</v>
      </c>
      <c r="BQ61" s="380">
        <v>15</v>
      </c>
      <c r="BR61" s="377" t="s">
        <v>78</v>
      </c>
      <c r="BS61" s="383">
        <v>15</v>
      </c>
      <c r="BT61" s="111"/>
    </row>
    <row r="62" spans="1:88" s="12" customFormat="1" ht="19.5" thickBot="1" x14ac:dyDescent="0.35">
      <c r="A62" s="14"/>
      <c r="B62" s="145" t="s">
        <v>39</v>
      </c>
      <c r="C62" s="13">
        <f>C44/($BG44-$BA$44)</f>
        <v>5.61427983440888E-2</v>
      </c>
      <c r="D62" s="13">
        <f>D44/($BH44-$BB$44)</f>
        <v>5.4702730223429391E-2</v>
      </c>
      <c r="E62" s="13">
        <f>C62-D62</f>
        <v>1.4400681206594088E-3</v>
      </c>
      <c r="F62" s="13">
        <f>F44/($BG44-$BA$44)</f>
        <v>5.0626497714262413E-2</v>
      </c>
      <c r="G62" s="13">
        <f>G44/($BH44-$BB$44)</f>
        <v>4.6407037792572665E-2</v>
      </c>
      <c r="H62" s="160">
        <f>F62-G62</f>
        <v>4.2194599216897472E-3</v>
      </c>
      <c r="I62" s="167">
        <f>I44/($BG44-$BA$44)</f>
        <v>0.10676929605835121</v>
      </c>
      <c r="J62" s="167">
        <f>J44/($BH44-$BB$44)</f>
        <v>0.10110976801600206</v>
      </c>
      <c r="K62" s="183">
        <f>I62-J62</f>
        <v>5.659528042349149E-3</v>
      </c>
      <c r="L62" s="167">
        <f>L44/($BG44-$BA$44)</f>
        <v>3.6084026390785319E-2</v>
      </c>
      <c r="M62" s="167">
        <f>M44/($BH44-$BB$44)</f>
        <v>3.0520309520079229E-2</v>
      </c>
      <c r="N62" s="183">
        <f>L62-M62</f>
        <v>5.5637168707060904E-3</v>
      </c>
      <c r="O62" s="74">
        <f>O44/($BG44-$BA$44)</f>
        <v>1.7798883289010445E-4</v>
      </c>
      <c r="P62" s="74">
        <f>P44/($BH44-$BB$44)</f>
        <v>1.9381788832502123E-4</v>
      </c>
      <c r="Q62" s="74">
        <f>O62-P62</f>
        <v>-1.5829055434916776E-5</v>
      </c>
      <c r="R62" s="74">
        <f>R44/($BG44-$BA$44)</f>
        <v>3.2390248356773919E-2</v>
      </c>
      <c r="S62" s="74">
        <f>S44/($BH44-$BB$44)</f>
        <v>3.461180374377669E-2</v>
      </c>
      <c r="T62" s="81">
        <f>R62-S62</f>
        <v>-2.2215553870027702E-3</v>
      </c>
      <c r="U62" s="81">
        <f>U44/($BG44-$BA$44)</f>
        <v>0</v>
      </c>
      <c r="V62" s="167">
        <f>V44/($BG44-$BA$44)</f>
        <v>3.256823718966402E-2</v>
      </c>
      <c r="W62" s="167">
        <f>W44/($BH44-$BB$44)</f>
        <v>3.4805621632101713E-2</v>
      </c>
      <c r="X62" s="183">
        <f>V62-W62</f>
        <v>-2.2373844424376926E-3</v>
      </c>
      <c r="Y62" s="167">
        <f>Y44/($BG44-$BA$44)</f>
        <v>0.20963778045570508</v>
      </c>
      <c r="Z62" s="167">
        <f>Z44/($BH44-$BB$44)</f>
        <v>0.20188467377642286</v>
      </c>
      <c r="AA62" s="183">
        <f>Y62-Z62</f>
        <v>7.7531066792822234E-3</v>
      </c>
      <c r="AB62" s="74">
        <f>AB44/($BG44-$BA$44)</f>
        <v>0</v>
      </c>
      <c r="AC62" s="74">
        <f>AC44/($BG44-$BA$44)</f>
        <v>0.13197005259130803</v>
      </c>
      <c r="AD62" s="74">
        <f>AD44/($BH44-$BB$44)</f>
        <v>0.12821071059935321</v>
      </c>
      <c r="AE62" s="74">
        <f>AC62-AD62</f>
        <v>3.7593419919548232E-3</v>
      </c>
      <c r="AF62" s="13">
        <f>AF44/($BG44-$BA$44)</f>
        <v>9.5235975596932948E-2</v>
      </c>
      <c r="AG62" s="13">
        <f>AG44/($BH44-$BB$44)</f>
        <v>8.9782647983674191E-2</v>
      </c>
      <c r="AH62" s="74">
        <f>AF62-AG62</f>
        <v>5.4533276132587571E-3</v>
      </c>
      <c r="AI62" s="74">
        <f>AI44/($BG44-$BA$44)</f>
        <v>0.17209765318904832</v>
      </c>
      <c r="AJ62" s="74">
        <f>AJ44/($BH44-$BB$44)</f>
        <v>0.18741724852015987</v>
      </c>
      <c r="AK62" s="81">
        <f>AI62-AJ62</f>
        <v>-1.5319595331111546E-2</v>
      </c>
      <c r="AL62" s="13">
        <f>AL44/($BG44-$BA$44)</f>
        <v>1.1254102615687902E-2</v>
      </c>
      <c r="AM62" s="13">
        <f>AM44/($BH44-$BB$44)</f>
        <v>1.1026241115208319E-2</v>
      </c>
      <c r="AN62" s="160">
        <f>AL62-AM62</f>
        <v>2.2786150047958247E-4</v>
      </c>
      <c r="AO62" s="167">
        <f>AO44/($BG44-$BA$44)</f>
        <v>0.6201955644486824</v>
      </c>
      <c r="AP62" s="13">
        <f>AP44/($BH44-$BB$44)</f>
        <v>0.61832152199481849</v>
      </c>
      <c r="AQ62" s="183">
        <f>AO62-AP62</f>
        <v>1.8740424538639111E-3</v>
      </c>
      <c r="AR62" s="74">
        <f>AR44/($BG44-$BA$44)</f>
        <v>0.17223887482635003</v>
      </c>
      <c r="AS62" s="74">
        <f>AS44/($BH44-$BB$44)</f>
        <v>0.18137441581454547</v>
      </c>
      <c r="AT62" s="74">
        <f>AR62-AS62</f>
        <v>-9.1355409881954397E-3</v>
      </c>
      <c r="AU62" s="74">
        <f>AU44/($BG44-$BA$44)</f>
        <v>0</v>
      </c>
      <c r="AV62" s="81">
        <f>AV44/($BG44-$BA$44)</f>
        <v>0</v>
      </c>
      <c r="AW62" s="167">
        <f>AW44/($BG44-$BA$44)</f>
        <v>0.17223887482635003</v>
      </c>
      <c r="AX62" s="13">
        <f>AX44/($BH44-$BB$44)</f>
        <v>0.18137441581454547</v>
      </c>
      <c r="AY62" s="183">
        <f>AW62-AX62</f>
        <v>-9.1355409881954397E-3</v>
      </c>
      <c r="AZ62" s="81">
        <f>AZ44/($BG44-$BA$44)</f>
        <v>0</v>
      </c>
      <c r="BA62" s="167">
        <v>0</v>
      </c>
      <c r="BB62" s="13">
        <v>0</v>
      </c>
      <c r="BC62" s="160">
        <v>0</v>
      </c>
      <c r="BD62" s="167">
        <f>BD44/($BG44-$BA$44)</f>
        <v>3.2144001086167197E-2</v>
      </c>
      <c r="BE62" s="167">
        <f>BE44/($BH44-$BB$44)</f>
        <v>3.386836302245308E-2</v>
      </c>
      <c r="BF62" s="183">
        <f>BD62-BE62</f>
        <v>-1.7243619362858828E-3</v>
      </c>
      <c r="BG62" s="74">
        <f>BG44/$BG44</f>
        <v>1</v>
      </c>
      <c r="BH62" s="13">
        <f>BH44/$BG44</f>
        <v>0.89080609834385083</v>
      </c>
      <c r="BI62" s="160">
        <f>BG62-BH62</f>
        <v>0.10919390165614917</v>
      </c>
      <c r="BJ62" s="167">
        <f>BJ44/$BG44</f>
        <v>0.1424093601050602</v>
      </c>
      <c r="BK62" s="13">
        <f>BK44/$BG44</f>
        <v>0.11683710002040303</v>
      </c>
      <c r="BL62" s="160">
        <f>BJ62-BK62</f>
        <v>2.557226008465717E-2</v>
      </c>
      <c r="BM62" s="167">
        <f>BM44/$BG44</f>
        <v>0.85759063989493989</v>
      </c>
      <c r="BN62" s="13">
        <f>BN44/$BG44</f>
        <v>0.77396899832344779</v>
      </c>
      <c r="BO62" s="183">
        <f>BO44/$BG44</f>
        <v>8.4777142416503776E-2</v>
      </c>
      <c r="BP62" s="386" t="s">
        <v>121</v>
      </c>
      <c r="BQ62" s="381">
        <v>76</v>
      </c>
      <c r="BR62" s="387" t="s">
        <v>122</v>
      </c>
      <c r="BS62" s="384">
        <v>72</v>
      </c>
      <c r="BT62" s="111"/>
    </row>
    <row r="63" spans="1:88" ht="16.5" thickBot="1" x14ac:dyDescent="0.3">
      <c r="A63" s="3"/>
      <c r="B63" s="172" t="s">
        <v>38</v>
      </c>
      <c r="C63" s="185">
        <f>C17/C61</f>
        <v>193088</v>
      </c>
      <c r="D63" s="185">
        <f>D17/D61</f>
        <v>217224</v>
      </c>
      <c r="E63" s="185">
        <f>C63-D63</f>
        <v>-24136</v>
      </c>
      <c r="F63" s="185">
        <f>F17/F61</f>
        <v>217224</v>
      </c>
      <c r="G63" s="185">
        <f>G17/G61</f>
        <v>217224</v>
      </c>
      <c r="H63" s="185">
        <f>F63-G63</f>
        <v>0</v>
      </c>
      <c r="I63" s="168"/>
      <c r="J63" s="169"/>
      <c r="K63" s="186"/>
      <c r="L63" s="184"/>
      <c r="M63" s="40"/>
      <c r="N63" s="185"/>
      <c r="O63" s="185"/>
      <c r="P63" s="185"/>
      <c r="Q63" s="185"/>
      <c r="R63" s="185">
        <f>R17/R61</f>
        <v>217224</v>
      </c>
      <c r="S63" s="185">
        <f>S17/S61</f>
        <v>217224</v>
      </c>
      <c r="T63" s="185">
        <f>R63-S63</f>
        <v>0</v>
      </c>
      <c r="U63" s="121"/>
      <c r="V63" s="168"/>
      <c r="W63" s="169"/>
      <c r="X63" s="186"/>
      <c r="Y63" s="186">
        <f>Y17/Y61</f>
        <v>209785.22105263159</v>
      </c>
      <c r="Z63" s="186">
        <f>Z17/Z61</f>
        <v>155369.57894736843</v>
      </c>
      <c r="AA63" s="186">
        <f>Y63-Z63</f>
        <v>54415.642105263163</v>
      </c>
      <c r="AB63" s="123"/>
      <c r="AC63" s="185">
        <f>AC17/AC61</f>
        <v>206021.45454545456</v>
      </c>
      <c r="AD63" s="185">
        <f>AD17/AD61</f>
        <v>138307.27272727274</v>
      </c>
      <c r="AE63" s="185">
        <f>AC63-AD63</f>
        <v>67714.181818181823</v>
      </c>
      <c r="AF63" s="185">
        <f>AF17/AF61</f>
        <v>228432.92</v>
      </c>
      <c r="AG63" s="185">
        <f>AG17/AG61</f>
        <v>212784.625</v>
      </c>
      <c r="AH63" s="185">
        <f>AF63-AG63</f>
        <v>15648.295000000013</v>
      </c>
      <c r="AI63" s="185">
        <f>AI17/AI61</f>
        <v>174231.75</v>
      </c>
      <c r="AJ63" s="185">
        <f>AJ17/AJ61</f>
        <v>170306.57142857142</v>
      </c>
      <c r="AK63" s="185">
        <f>AI63-AJ63</f>
        <v>3925.1785714285797</v>
      </c>
      <c r="AL63" s="185">
        <f>AL17/AL61</f>
        <v>419832</v>
      </c>
      <c r="AM63" s="185">
        <f>AM17/AM61</f>
        <v>409116</v>
      </c>
      <c r="AN63" s="185">
        <f>AL63-AM63</f>
        <v>10716</v>
      </c>
      <c r="AO63" s="184"/>
      <c r="AP63" s="40"/>
      <c r="AQ63" s="185"/>
      <c r="AR63" s="184">
        <f>AR17/AR61</f>
        <v>160581</v>
      </c>
      <c r="AS63" s="184">
        <f>AS17/AS61</f>
        <v>154115.85714285713</v>
      </c>
      <c r="AT63" s="184">
        <f>AR63-AS63</f>
        <v>6465.1428571428696</v>
      </c>
      <c r="AU63" s="184"/>
      <c r="AV63" s="184"/>
      <c r="AW63" s="184"/>
      <c r="AX63" s="40"/>
      <c r="AY63" s="185"/>
      <c r="AZ63" s="3"/>
      <c r="BA63" s="184"/>
      <c r="BB63" s="40"/>
      <c r="BC63" s="284"/>
      <c r="BD63" s="184">
        <f>BD17/BD61</f>
        <v>203644.79999999999</v>
      </c>
      <c r="BE63" s="184">
        <f>BE17/BE61</f>
        <v>189994.25</v>
      </c>
      <c r="BF63" s="185">
        <f>BD63-BE63</f>
        <v>13650.549999999988</v>
      </c>
      <c r="BG63" s="281"/>
      <c r="BH63" s="40"/>
      <c r="BI63" s="284"/>
      <c r="BJ63" s="184"/>
      <c r="BK63" s="40"/>
      <c r="BL63" s="284"/>
      <c r="BM63" s="184"/>
      <c r="BN63" s="40"/>
      <c r="BO63" s="185"/>
      <c r="BP63" s="378" t="s">
        <v>123</v>
      </c>
      <c r="BQ63" s="382">
        <f>SUM(BQ61:BQ62)</f>
        <v>91</v>
      </c>
      <c r="BR63" s="379" t="s">
        <v>117</v>
      </c>
      <c r="BS63" s="385">
        <f>BS61+BS62</f>
        <v>87</v>
      </c>
      <c r="BT63" s="111"/>
    </row>
    <row r="64" spans="1:88" x14ac:dyDescent="0.25">
      <c r="A64" s="3"/>
      <c r="B64" s="122"/>
      <c r="C64" s="3"/>
      <c r="D64" s="3"/>
      <c r="E64" s="3"/>
      <c r="F64" s="3"/>
      <c r="G64" s="3"/>
      <c r="H64" s="3"/>
      <c r="I64" s="35"/>
      <c r="J64" s="35"/>
      <c r="K64" s="35"/>
      <c r="L64" s="3"/>
      <c r="M64" s="3"/>
      <c r="N64" s="3"/>
      <c r="O64" s="3"/>
      <c r="P64" s="3"/>
      <c r="Q64" s="3"/>
      <c r="R64" s="3"/>
      <c r="S64" s="3"/>
      <c r="T64" s="3"/>
      <c r="U64" s="3"/>
      <c r="V64" s="35"/>
      <c r="W64" s="35"/>
      <c r="X64" s="35"/>
      <c r="Y64" s="35"/>
      <c r="Z64" s="35"/>
      <c r="AA64" s="35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Q64" s="111"/>
      <c r="BR64" s="111"/>
      <c r="BS64" s="373"/>
      <c r="BT64" s="111"/>
    </row>
    <row r="65" spans="1:67" ht="16.5" thickBot="1" x14ac:dyDescent="0.3">
      <c r="A65" s="3"/>
      <c r="B65" s="122"/>
      <c r="C65" s="124"/>
      <c r="D65" s="124"/>
      <c r="E65" s="124"/>
      <c r="F65" s="124"/>
      <c r="G65" s="124"/>
      <c r="H65" s="124"/>
      <c r="I65" s="35"/>
      <c r="J65" s="35"/>
      <c r="K65" s="35"/>
      <c r="L65" s="108"/>
      <c r="M65" s="3"/>
      <c r="N65" s="3"/>
      <c r="O65" s="3"/>
      <c r="P65" s="3"/>
      <c r="Q65" s="3"/>
      <c r="R65" s="124"/>
      <c r="S65" s="124"/>
      <c r="T65" s="124"/>
      <c r="U65" s="3"/>
      <c r="V65" s="35"/>
      <c r="W65" s="35"/>
      <c r="X65" s="35"/>
      <c r="Y65" s="124"/>
      <c r="Z65" s="124"/>
      <c r="AA65" s="124"/>
      <c r="AB65" s="124"/>
      <c r="AC65" s="124"/>
      <c r="AD65" s="124"/>
      <c r="AE65" s="124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F65" s="124"/>
      <c r="BG65" s="3"/>
      <c r="BH65" s="3"/>
      <c r="BI65" s="3"/>
      <c r="BJ65" s="3"/>
      <c r="BK65" s="3"/>
      <c r="BL65" s="3"/>
      <c r="BM65" s="3"/>
      <c r="BN65" s="3"/>
      <c r="BO65" s="3"/>
    </row>
    <row r="66" spans="1:67" ht="16.5" customHeight="1" x14ac:dyDescent="0.25">
      <c r="A66" s="3"/>
      <c r="B66" s="122"/>
      <c r="C66" s="124"/>
      <c r="D66" s="124"/>
      <c r="E66" s="124"/>
      <c r="F66" s="124"/>
      <c r="G66" s="124"/>
      <c r="H66" s="124"/>
      <c r="I66" s="35"/>
      <c r="J66" s="35"/>
      <c r="K66" s="35"/>
      <c r="L66" s="108"/>
      <c r="M66" s="3"/>
      <c r="N66" s="3"/>
      <c r="O66" s="3"/>
      <c r="P66" s="3"/>
      <c r="Q66" s="3"/>
      <c r="R66" s="124"/>
      <c r="S66" s="124"/>
      <c r="T66" s="124"/>
      <c r="U66" s="3"/>
      <c r="V66" s="35"/>
      <c r="W66" s="35"/>
      <c r="X66" s="35"/>
      <c r="AA66" s="124"/>
      <c r="AB66" s="124"/>
      <c r="AE66" s="124"/>
      <c r="AH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F66" s="124"/>
      <c r="BG66" s="334" t="s">
        <v>116</v>
      </c>
      <c r="BH66" s="335"/>
      <c r="BI66" s="374"/>
      <c r="BJ66" s="375"/>
      <c r="BK66" s="392">
        <v>1351178708</v>
      </c>
      <c r="BL66" s="3"/>
      <c r="BM66" s="3"/>
      <c r="BN66" s="3"/>
      <c r="BO66" s="3"/>
    </row>
    <row r="67" spans="1:67" ht="16.5" customHeight="1" x14ac:dyDescent="0.25">
      <c r="A67" s="3"/>
      <c r="B67" s="122"/>
      <c r="C67" s="124"/>
      <c r="D67" s="124"/>
      <c r="E67" s="124"/>
      <c r="F67" s="124"/>
      <c r="G67" s="124"/>
      <c r="H67" s="124"/>
      <c r="I67" s="35"/>
      <c r="J67" s="35"/>
      <c r="K67" s="35"/>
      <c r="L67" s="108"/>
      <c r="M67" s="3"/>
      <c r="N67" s="3"/>
      <c r="O67" s="3"/>
      <c r="P67" s="3"/>
      <c r="Q67" s="3"/>
      <c r="R67" s="124"/>
      <c r="S67" s="124"/>
      <c r="T67" s="124"/>
      <c r="U67" s="3"/>
      <c r="V67" s="35"/>
      <c r="W67" s="35"/>
      <c r="X67" s="35"/>
      <c r="AA67" s="124"/>
      <c r="AB67" s="124"/>
      <c r="AE67" s="124"/>
      <c r="AH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F67" s="124"/>
      <c r="BG67" s="336" t="s">
        <v>124</v>
      </c>
      <c r="BH67" s="24"/>
      <c r="BK67" s="393">
        <v>1303467101</v>
      </c>
      <c r="BL67" s="3"/>
      <c r="BM67" s="3"/>
      <c r="BN67" s="3"/>
      <c r="BO67" s="3"/>
    </row>
    <row r="68" spans="1:67" ht="16.5" thickBot="1" x14ac:dyDescent="0.3">
      <c r="A68" s="3"/>
      <c r="B68" s="122"/>
      <c r="C68" s="124"/>
      <c r="D68" s="124"/>
      <c r="E68" s="124"/>
      <c r="F68" s="124"/>
      <c r="G68" s="124"/>
      <c r="H68" s="124"/>
      <c r="I68" s="35"/>
      <c r="J68" s="35"/>
      <c r="K68" s="35"/>
      <c r="L68" s="108"/>
      <c r="M68" s="3"/>
      <c r="N68" s="3"/>
      <c r="O68" s="3"/>
      <c r="P68" s="3"/>
      <c r="Q68" s="3"/>
      <c r="R68" s="124"/>
      <c r="S68" s="124"/>
      <c r="T68" s="124"/>
      <c r="U68" s="3"/>
      <c r="V68" s="35"/>
      <c r="W68" s="35"/>
      <c r="X68" s="35"/>
      <c r="AA68" s="124"/>
      <c r="AB68" s="124"/>
      <c r="AE68" s="124"/>
      <c r="AH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F68" s="124"/>
      <c r="BG68" s="395" t="s">
        <v>112</v>
      </c>
      <c r="BH68" s="396"/>
      <c r="BI68" s="397"/>
      <c r="BJ68" s="398"/>
      <c r="BK68" s="393">
        <f>BH60</f>
        <v>1203130994</v>
      </c>
      <c r="BL68" s="3"/>
      <c r="BM68" s="3"/>
      <c r="BN68" s="3"/>
      <c r="BO68" s="3"/>
    </row>
    <row r="69" spans="1:67" ht="18.75" customHeight="1" thickBot="1" x14ac:dyDescent="0.3">
      <c r="A69" s="3"/>
      <c r="B69" s="354"/>
      <c r="C69" s="511" t="s">
        <v>0</v>
      </c>
      <c r="D69" s="512"/>
      <c r="E69" s="513"/>
      <c r="H69" s="3"/>
      <c r="I69" s="3"/>
      <c r="J69" s="3"/>
      <c r="M69" s="108"/>
      <c r="N69" s="108"/>
      <c r="O69" s="3"/>
      <c r="P69" s="3"/>
      <c r="Q69" s="3"/>
      <c r="R69" s="3"/>
      <c r="S69" s="3"/>
      <c r="T69" s="3"/>
      <c r="U69" s="3"/>
      <c r="V69" s="3"/>
      <c r="W69" s="3"/>
      <c r="X69" s="3"/>
      <c r="Y69" s="124"/>
      <c r="Z69" s="262"/>
      <c r="AA69" s="124"/>
      <c r="AB69" s="3"/>
      <c r="AD69" s="208"/>
      <c r="AE69" s="124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36" t="s">
        <v>113</v>
      </c>
      <c r="BH69" s="24"/>
      <c r="BI69" s="24"/>
      <c r="BK69" s="394">
        <v>-36694560</v>
      </c>
      <c r="BL69" s="177"/>
      <c r="BM69" s="178"/>
      <c r="BN69" s="178"/>
      <c r="BO69" s="178"/>
    </row>
    <row r="70" spans="1:67" ht="15" customHeight="1" x14ac:dyDescent="0.25">
      <c r="A70" s="3"/>
      <c r="B70" s="11" t="s">
        <v>21</v>
      </c>
      <c r="C70" s="173" t="s">
        <v>93</v>
      </c>
      <c r="D70" s="173" t="s">
        <v>94</v>
      </c>
      <c r="E70" s="367" t="s">
        <v>97</v>
      </c>
      <c r="H70" s="3"/>
      <c r="I70" s="3"/>
      <c r="J70" s="3"/>
      <c r="M70" s="108"/>
      <c r="N70" s="108"/>
      <c r="O70" s="3"/>
      <c r="P70" s="3"/>
      <c r="Q70" s="3"/>
      <c r="R70" s="3"/>
      <c r="S70" s="3"/>
      <c r="T70" s="3"/>
      <c r="U70" s="3"/>
      <c r="V70" s="3"/>
      <c r="W70" s="3"/>
      <c r="X70" s="3"/>
      <c r="Y70" s="124"/>
      <c r="Z70" s="262"/>
      <c r="AA70" s="124"/>
      <c r="AB70" s="3"/>
      <c r="AD70" s="208"/>
      <c r="AE70" s="124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36" t="s">
        <v>114</v>
      </c>
      <c r="BH70" s="24"/>
      <c r="BI70" s="24"/>
      <c r="BJ70" s="388"/>
      <c r="BK70" s="399">
        <f>SUM(BK68:BK69)</f>
        <v>1166436434</v>
      </c>
      <c r="BL70" s="177"/>
      <c r="BM70" s="178"/>
      <c r="BN70" s="178"/>
      <c r="BO70" s="178"/>
    </row>
    <row r="71" spans="1:67" ht="17.25" customHeight="1" x14ac:dyDescent="0.25">
      <c r="A71" s="3"/>
      <c r="B71" s="8" t="s">
        <v>20</v>
      </c>
      <c r="C71" s="174"/>
      <c r="D71" s="174"/>
      <c r="E71" s="368"/>
      <c r="H71" s="3"/>
      <c r="I71" s="3"/>
      <c r="J71" s="3"/>
      <c r="M71" s="108"/>
      <c r="N71" s="108"/>
      <c r="O71" s="3"/>
      <c r="P71" s="3"/>
      <c r="Q71" s="3"/>
      <c r="R71" s="3"/>
      <c r="S71" s="3"/>
      <c r="T71" s="3"/>
      <c r="U71" s="3"/>
      <c r="V71" s="3"/>
      <c r="W71" s="3"/>
      <c r="X71" s="3"/>
      <c r="Y71" s="124"/>
      <c r="Z71" s="262"/>
      <c r="AA71" s="124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400" t="s">
        <v>115</v>
      </c>
      <c r="BH71" s="401"/>
      <c r="BI71" s="402"/>
      <c r="BJ71" s="403"/>
      <c r="BK71" s="391">
        <f>BK67-BK70</f>
        <v>137030667</v>
      </c>
      <c r="BL71" s="110"/>
      <c r="BM71" s="207"/>
      <c r="BN71" s="207"/>
      <c r="BO71" s="207"/>
    </row>
    <row r="72" spans="1:67" ht="17.25" customHeight="1" x14ac:dyDescent="0.25">
      <c r="A72" s="3"/>
      <c r="B72" s="8" t="s">
        <v>19</v>
      </c>
      <c r="C72" s="174"/>
      <c r="D72" s="174"/>
      <c r="E72" s="368"/>
      <c r="H72" s="3"/>
      <c r="I72" s="3"/>
      <c r="J72" s="3"/>
      <c r="L72" s="107"/>
      <c r="M72" s="107"/>
      <c r="N72" s="107"/>
      <c r="R72" s="109"/>
      <c r="S72" s="109"/>
      <c r="T72" s="109"/>
      <c r="U72" s="3"/>
      <c r="V72" s="3"/>
      <c r="W72" s="3"/>
      <c r="X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198"/>
      <c r="BE72" s="198"/>
      <c r="BF72" s="198"/>
      <c r="BM72" s="207"/>
      <c r="BN72" s="207"/>
      <c r="BO72" s="207"/>
    </row>
    <row r="73" spans="1:67" x14ac:dyDescent="0.25">
      <c r="A73" s="3"/>
      <c r="B73" s="9" t="s">
        <v>18</v>
      </c>
      <c r="C73" s="239">
        <f>100331748+1466667+4143740+3000000+6000000</f>
        <v>114942155</v>
      </c>
      <c r="D73" s="239">
        <v>113637833</v>
      </c>
      <c r="E73" s="369">
        <f>C73-D73</f>
        <v>1304322</v>
      </c>
      <c r="F73" s="3"/>
      <c r="G73" s="3"/>
      <c r="H73" s="3"/>
      <c r="L73" s="107"/>
      <c r="M73" s="107"/>
      <c r="N73" s="107"/>
      <c r="V73" s="3"/>
      <c r="W73" s="3"/>
      <c r="X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198"/>
      <c r="BE73" s="198"/>
      <c r="BF73" s="198"/>
      <c r="BM73" s="207"/>
      <c r="BN73" s="207"/>
      <c r="BO73" s="207"/>
    </row>
    <row r="74" spans="1:67" x14ac:dyDescent="0.25">
      <c r="A74" s="3"/>
      <c r="B74" s="9" t="s">
        <v>17</v>
      </c>
      <c r="C74" s="239">
        <v>6600000</v>
      </c>
      <c r="D74" s="239">
        <v>7269355</v>
      </c>
      <c r="E74" s="369">
        <f t="shared" ref="E74:E91" si="121">C74-D74</f>
        <v>-669355</v>
      </c>
      <c r="F74" s="3"/>
      <c r="G74" s="3"/>
      <c r="H74" s="3"/>
      <c r="R74" s="102"/>
      <c r="S74" s="102"/>
      <c r="T74" s="102"/>
      <c r="U74" s="103"/>
      <c r="V74" s="3"/>
      <c r="W74" s="3"/>
      <c r="X74" s="3"/>
      <c r="AA74" s="3"/>
      <c r="AB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198"/>
      <c r="BE74" s="198"/>
      <c r="BF74" s="198"/>
      <c r="BM74" s="207"/>
      <c r="BN74" s="207"/>
      <c r="BO74" s="207"/>
    </row>
    <row r="75" spans="1:67" x14ac:dyDescent="0.25">
      <c r="A75" s="3"/>
      <c r="B75" s="9" t="s">
        <v>16</v>
      </c>
      <c r="C75" s="240">
        <v>3476800</v>
      </c>
      <c r="D75" s="240">
        <v>2286064</v>
      </c>
      <c r="E75" s="369">
        <f t="shared" si="121"/>
        <v>1190736</v>
      </c>
      <c r="F75" s="3"/>
      <c r="G75" s="3"/>
      <c r="H75" s="3"/>
      <c r="L75" s="3"/>
      <c r="M75" s="3"/>
      <c r="N75" s="3"/>
      <c r="R75" s="104"/>
      <c r="S75" s="104"/>
      <c r="T75" s="104"/>
      <c r="U75" s="104"/>
      <c r="V75" s="3"/>
      <c r="W75" s="3"/>
      <c r="X75" s="3"/>
      <c r="AA75" s="3"/>
      <c r="AB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110"/>
      <c r="BE75" s="110"/>
      <c r="BF75" s="110"/>
      <c r="BG75" s="110"/>
      <c r="BH75" s="110"/>
      <c r="BI75" s="110"/>
      <c r="BM75" s="207"/>
      <c r="BN75" s="207"/>
      <c r="BO75" s="207"/>
    </row>
    <row r="76" spans="1:67" x14ac:dyDescent="0.25">
      <c r="A76" s="3"/>
      <c r="B76" s="9" t="s">
        <v>15</v>
      </c>
      <c r="C76" s="239">
        <f>(C73+C74+C75)*13%-1</f>
        <v>16252463.15</v>
      </c>
      <c r="D76" s="239">
        <v>11341506</v>
      </c>
      <c r="E76" s="369">
        <f t="shared" si="121"/>
        <v>4910957.1500000004</v>
      </c>
      <c r="F76" s="3"/>
      <c r="G76" s="3"/>
      <c r="H76" s="3"/>
      <c r="O76" s="3"/>
      <c r="P76" s="3"/>
      <c r="Q76" s="3"/>
      <c r="R76" s="105"/>
      <c r="S76" s="105"/>
      <c r="T76" s="105"/>
      <c r="U76" s="104"/>
      <c r="V76" s="3"/>
      <c r="W76" s="3"/>
      <c r="X76" s="3"/>
      <c r="AA76" s="3"/>
      <c r="AB76" s="3"/>
      <c r="AC76" s="124"/>
      <c r="AD76" s="124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110"/>
      <c r="BE76" s="110"/>
      <c r="BF76" s="110"/>
      <c r="BG76" s="110"/>
      <c r="BH76" s="110"/>
      <c r="BI76" s="110"/>
      <c r="BM76" s="207"/>
      <c r="BN76" s="207"/>
      <c r="BO76" s="207"/>
    </row>
    <row r="77" spans="1:67" x14ac:dyDescent="0.25">
      <c r="A77" s="3"/>
      <c r="B77" s="9" t="s">
        <v>14</v>
      </c>
      <c r="C77" s="239">
        <f>2963624+585182.4+217224+419832</f>
        <v>4185862.4</v>
      </c>
      <c r="D77" s="239">
        <v>3511096</v>
      </c>
      <c r="E77" s="369">
        <f t="shared" si="121"/>
        <v>674766.39999999991</v>
      </c>
      <c r="F77" s="3"/>
      <c r="G77" s="3"/>
      <c r="H77" s="3"/>
      <c r="L77" s="3"/>
      <c r="M77" s="3"/>
      <c r="N77" s="3"/>
      <c r="R77" s="104"/>
      <c r="S77" s="104"/>
      <c r="T77" s="104"/>
      <c r="U77" s="104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110"/>
      <c r="BE77" s="110"/>
      <c r="BF77" s="110"/>
      <c r="BG77" s="110"/>
      <c r="BH77" s="110"/>
      <c r="BI77" s="110"/>
      <c r="BM77" s="207"/>
      <c r="BN77" s="207"/>
      <c r="BO77" s="207"/>
    </row>
    <row r="78" spans="1:67" x14ac:dyDescent="0.25">
      <c r="A78" s="3"/>
      <c r="B78" s="9" t="s">
        <v>67</v>
      </c>
      <c r="C78" s="239">
        <v>0</v>
      </c>
      <c r="D78" s="239">
        <v>0</v>
      </c>
      <c r="E78" s="369">
        <f t="shared" si="121"/>
        <v>0</v>
      </c>
      <c r="F78" s="3"/>
      <c r="G78" s="3"/>
      <c r="H78" s="3"/>
      <c r="L78" s="3"/>
      <c r="M78" s="3"/>
      <c r="N78" s="3"/>
      <c r="R78" s="104"/>
      <c r="S78" s="104"/>
      <c r="T78" s="104"/>
      <c r="U78" s="104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112"/>
      <c r="AX78" s="112"/>
      <c r="AY78" s="112"/>
      <c r="AZ78" s="112"/>
      <c r="BA78" s="112"/>
      <c r="BB78" s="112"/>
      <c r="BC78" s="112"/>
      <c r="BD78" s="112"/>
      <c r="BE78" s="112"/>
      <c r="BF78" s="112"/>
      <c r="BG78" s="198"/>
      <c r="BH78" s="198"/>
      <c r="BI78" s="198"/>
      <c r="BJ78" s="110"/>
      <c r="BK78" s="110"/>
      <c r="BL78" s="110"/>
      <c r="BM78" s="176"/>
      <c r="BN78" s="176"/>
      <c r="BO78" s="176"/>
    </row>
    <row r="79" spans="1:67" x14ac:dyDescent="0.25">
      <c r="A79" s="3"/>
      <c r="B79" s="8" t="s">
        <v>13</v>
      </c>
      <c r="C79" s="355"/>
      <c r="D79" s="355"/>
      <c r="E79" s="370">
        <f t="shared" si="121"/>
        <v>0</v>
      </c>
      <c r="F79" s="51"/>
      <c r="G79" s="51"/>
      <c r="H79" s="3"/>
      <c r="I79" s="51"/>
      <c r="J79" s="51"/>
      <c r="K79" s="51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110"/>
      <c r="BE79" s="110"/>
      <c r="BF79" s="110"/>
      <c r="BG79" s="110"/>
      <c r="BH79" s="110"/>
      <c r="BI79" s="110"/>
      <c r="BJ79" s="110"/>
      <c r="BK79" s="110"/>
      <c r="BL79" s="110"/>
      <c r="BM79" s="176"/>
      <c r="BN79" s="176"/>
      <c r="BO79" s="176"/>
    </row>
    <row r="80" spans="1:67" x14ac:dyDescent="0.25">
      <c r="A80" s="3"/>
      <c r="B80" s="9" t="s">
        <v>52</v>
      </c>
      <c r="C80" s="240">
        <f>16906865-3000000</f>
        <v>13906865</v>
      </c>
      <c r="D80" s="240">
        <f>9246344+411231</f>
        <v>9657575</v>
      </c>
      <c r="E80" s="369">
        <f t="shared" si="121"/>
        <v>4249290</v>
      </c>
      <c r="F80" s="51"/>
      <c r="G80" s="51"/>
      <c r="H80" s="3"/>
      <c r="I80" s="51"/>
      <c r="J80" s="51"/>
      <c r="K80" s="51"/>
      <c r="L80" s="3"/>
      <c r="M80" s="3"/>
      <c r="N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112"/>
      <c r="AX80" s="112"/>
      <c r="AY80" s="112"/>
      <c r="AZ80" s="112"/>
      <c r="BA80" s="112"/>
      <c r="BB80" s="112"/>
      <c r="BC80" s="112"/>
      <c r="BD80" s="523"/>
      <c r="BE80" s="523"/>
      <c r="BF80" s="523"/>
      <c r="BG80" s="523"/>
      <c r="BH80" s="523"/>
      <c r="BI80" s="523"/>
      <c r="BJ80" s="523"/>
      <c r="BK80" s="198"/>
      <c r="BL80" s="198"/>
      <c r="BM80" s="207"/>
      <c r="BN80" s="207"/>
      <c r="BO80" s="207"/>
    </row>
    <row r="81" spans="1:67" x14ac:dyDescent="0.25">
      <c r="A81" s="3"/>
      <c r="B81" s="9" t="s">
        <v>12</v>
      </c>
      <c r="C81" s="240">
        <f>3700000*1.18</f>
        <v>4366000</v>
      </c>
      <c r="D81" s="240">
        <v>5046118</v>
      </c>
      <c r="E81" s="369">
        <f t="shared" si="121"/>
        <v>-680118</v>
      </c>
      <c r="F81" s="51"/>
      <c r="G81" s="51"/>
      <c r="H81" s="3"/>
      <c r="I81" s="67"/>
      <c r="J81" s="67"/>
      <c r="K81" s="67"/>
      <c r="L81" s="3"/>
      <c r="M81" s="3"/>
      <c r="N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110"/>
      <c r="BE81" s="110"/>
      <c r="BF81" s="110"/>
      <c r="BJ81" s="110"/>
      <c r="BK81" s="110"/>
      <c r="BL81" s="110"/>
      <c r="BM81" s="207"/>
      <c r="BN81" s="207"/>
      <c r="BO81" s="207"/>
    </row>
    <row r="82" spans="1:67" ht="47.25" x14ac:dyDescent="0.25">
      <c r="A82" s="3"/>
      <c r="B82" s="10" t="s">
        <v>11</v>
      </c>
      <c r="C82" s="240">
        <f>(38532000+1000000)*1.18-7199832+2377440</f>
        <v>41825368</v>
      </c>
      <c r="D82" s="240">
        <f>37034810+474390</f>
        <v>37509200</v>
      </c>
      <c r="E82" s="369">
        <f t="shared" si="121"/>
        <v>4316168</v>
      </c>
      <c r="F82" s="93"/>
      <c r="G82" s="93"/>
      <c r="H82" s="3"/>
      <c r="I82" s="93"/>
      <c r="J82" s="93"/>
      <c r="K82" s="9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523"/>
      <c r="BE82" s="523"/>
      <c r="BF82" s="523"/>
      <c r="BG82" s="523"/>
      <c r="BH82" s="523"/>
      <c r="BI82" s="523"/>
      <c r="BJ82" s="523"/>
      <c r="BK82" s="198"/>
      <c r="BL82" s="198"/>
      <c r="BM82" s="207"/>
      <c r="BN82" s="207"/>
      <c r="BO82" s="207"/>
    </row>
    <row r="83" spans="1:67" ht="15.75" customHeight="1" x14ac:dyDescent="0.25">
      <c r="A83" s="3"/>
      <c r="B83" s="9" t="s">
        <v>10</v>
      </c>
      <c r="C83" s="239">
        <v>0</v>
      </c>
      <c r="D83" s="239">
        <v>0</v>
      </c>
      <c r="E83" s="369">
        <f t="shared" si="121"/>
        <v>0</v>
      </c>
      <c r="F83" s="3"/>
      <c r="G83" s="3"/>
      <c r="H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112"/>
      <c r="AS83" s="112"/>
      <c r="AT83" s="112"/>
      <c r="AU83" s="112"/>
      <c r="AV83" s="4"/>
      <c r="AW83" s="3"/>
      <c r="AX83" s="3"/>
      <c r="AY83" s="3"/>
      <c r="AZ83" s="112"/>
      <c r="BA83" s="112"/>
      <c r="BB83" s="112"/>
      <c r="BC83" s="112"/>
      <c r="BD83" s="523"/>
      <c r="BE83" s="523"/>
      <c r="BF83" s="523"/>
      <c r="BG83" s="523"/>
      <c r="BH83" s="523"/>
      <c r="BI83" s="523"/>
      <c r="BJ83" s="523"/>
      <c r="BK83" s="198"/>
      <c r="BL83" s="198"/>
      <c r="BM83" s="207"/>
      <c r="BN83" s="207"/>
      <c r="BO83" s="207"/>
    </row>
    <row r="84" spans="1:67" x14ac:dyDescent="0.25">
      <c r="A84" s="3"/>
      <c r="B84" s="9" t="s">
        <v>9</v>
      </c>
      <c r="C84" s="239">
        <v>0</v>
      </c>
      <c r="D84" s="239">
        <v>0</v>
      </c>
      <c r="E84" s="369">
        <f t="shared" si="121"/>
        <v>0</v>
      </c>
      <c r="H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198"/>
      <c r="BE84" s="198"/>
      <c r="BF84" s="198"/>
      <c r="BG84" s="198"/>
      <c r="BH84" s="198"/>
      <c r="BI84" s="198"/>
      <c r="BJ84" s="198"/>
      <c r="BK84" s="198"/>
      <c r="BL84" s="198"/>
      <c r="BM84" s="207"/>
      <c r="BN84" s="207"/>
      <c r="BO84" s="207"/>
    </row>
    <row r="85" spans="1:67" x14ac:dyDescent="0.25">
      <c r="A85" s="3"/>
      <c r="B85" s="9" t="s">
        <v>8</v>
      </c>
      <c r="C85" s="239">
        <v>0</v>
      </c>
      <c r="D85" s="239">
        <v>0</v>
      </c>
      <c r="E85" s="369">
        <f t="shared" si="121"/>
        <v>0</v>
      </c>
      <c r="H85" s="3"/>
      <c r="L85" s="3" t="s">
        <v>71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523"/>
      <c r="BE85" s="523"/>
      <c r="BF85" s="523"/>
      <c r="BG85" s="523"/>
      <c r="BH85" s="523"/>
      <c r="BI85" s="523"/>
      <c r="BJ85" s="523"/>
      <c r="BK85" s="198"/>
      <c r="BL85" s="198"/>
      <c r="BM85" s="207"/>
      <c r="BN85" s="207"/>
      <c r="BO85" s="207"/>
    </row>
    <row r="86" spans="1:67" x14ac:dyDescent="0.25">
      <c r="A86" s="3"/>
      <c r="B86" s="9" t="s">
        <v>7</v>
      </c>
      <c r="C86" s="239">
        <v>0</v>
      </c>
      <c r="D86" s="239">
        <v>0</v>
      </c>
      <c r="E86" s="369">
        <f t="shared" si="121"/>
        <v>0</v>
      </c>
      <c r="H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523"/>
      <c r="BE86" s="523"/>
      <c r="BF86" s="523"/>
      <c r="BG86" s="523"/>
      <c r="BH86" s="523"/>
      <c r="BI86" s="523"/>
      <c r="BJ86" s="523"/>
      <c r="BK86" s="198"/>
      <c r="BL86" s="198"/>
      <c r="BM86" s="207"/>
      <c r="BN86" s="207"/>
      <c r="BO86" s="207"/>
    </row>
    <row r="87" spans="1:67" x14ac:dyDescent="0.25">
      <c r="A87" s="3"/>
      <c r="B87" s="9" t="s">
        <v>6</v>
      </c>
      <c r="C87" s="239">
        <v>8000000</v>
      </c>
      <c r="D87" s="239">
        <f>7287825+425879</f>
        <v>7713704</v>
      </c>
      <c r="E87" s="369">
        <f t="shared" si="121"/>
        <v>286296</v>
      </c>
      <c r="H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523"/>
      <c r="BE87" s="523"/>
      <c r="BF87" s="523"/>
      <c r="BG87" s="523"/>
      <c r="BH87" s="523"/>
      <c r="BI87" s="523"/>
      <c r="BJ87" s="523"/>
      <c r="BK87" s="198"/>
      <c r="BL87" s="198"/>
      <c r="BM87" s="207"/>
      <c r="BN87" s="207"/>
      <c r="BO87" s="207"/>
    </row>
    <row r="88" spans="1:67" x14ac:dyDescent="0.25">
      <c r="A88" s="3"/>
      <c r="B88" s="9" t="s">
        <v>5</v>
      </c>
      <c r="C88" s="239"/>
      <c r="D88" s="239">
        <v>0</v>
      </c>
      <c r="E88" s="369">
        <f t="shared" si="121"/>
        <v>0</v>
      </c>
      <c r="H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110"/>
      <c r="BE88" s="110"/>
      <c r="BF88" s="110"/>
      <c r="BG88" s="110"/>
      <c r="BH88" s="110"/>
      <c r="BI88" s="110"/>
      <c r="BJ88" s="110"/>
      <c r="BK88" s="110"/>
      <c r="BL88" s="110"/>
      <c r="BM88" s="207"/>
      <c r="BN88" s="207"/>
      <c r="BO88" s="207"/>
    </row>
    <row r="89" spans="1:67" x14ac:dyDescent="0.25">
      <c r="A89" s="3"/>
      <c r="B89" s="9" t="s">
        <v>4</v>
      </c>
      <c r="C89" s="239">
        <v>0</v>
      </c>
      <c r="D89" s="239">
        <v>0</v>
      </c>
      <c r="E89" s="369">
        <f t="shared" si="121"/>
        <v>0</v>
      </c>
      <c r="H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110"/>
      <c r="BE89" s="110"/>
      <c r="BF89" s="110"/>
      <c r="BG89" s="110"/>
      <c r="BH89" s="110"/>
      <c r="BI89" s="110"/>
      <c r="BJ89" s="110"/>
      <c r="BK89" s="110"/>
      <c r="BL89" s="110"/>
      <c r="BM89" s="207"/>
      <c r="BN89" s="207"/>
      <c r="BO89" s="207"/>
    </row>
    <row r="90" spans="1:67" x14ac:dyDescent="0.25">
      <c r="A90" s="3"/>
      <c r="B90" s="9" t="s">
        <v>3</v>
      </c>
      <c r="C90" s="239">
        <v>0</v>
      </c>
      <c r="D90" s="239">
        <f>315062+74618</f>
        <v>389680</v>
      </c>
      <c r="E90" s="369">
        <f>C90-D90</f>
        <v>-389680</v>
      </c>
      <c r="F90" s="3"/>
      <c r="G90" s="3"/>
      <c r="H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110"/>
      <c r="BE90" s="110"/>
      <c r="BF90" s="110"/>
      <c r="BG90" s="110"/>
      <c r="BH90" s="110"/>
      <c r="BI90" s="110"/>
      <c r="BJ90" s="110"/>
      <c r="BK90" s="110"/>
      <c r="BL90" s="110"/>
      <c r="BM90" s="207"/>
      <c r="BN90" s="207"/>
      <c r="BO90" s="207"/>
    </row>
    <row r="91" spans="1:67" ht="21" x14ac:dyDescent="0.35">
      <c r="A91" s="3"/>
      <c r="B91" s="8" t="s">
        <v>2</v>
      </c>
      <c r="C91" s="175">
        <f>SUM(C73:C90)</f>
        <v>213555513.55000001</v>
      </c>
      <c r="D91" s="175">
        <f>SUM(D72:D90)</f>
        <v>198362131</v>
      </c>
      <c r="E91" s="371">
        <f t="shared" si="121"/>
        <v>15193382.550000012</v>
      </c>
      <c r="H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110"/>
      <c r="BE91" s="110"/>
      <c r="BF91" s="110"/>
      <c r="BG91" s="110"/>
      <c r="BH91" s="110"/>
      <c r="BI91" s="110"/>
      <c r="BJ91" s="110"/>
      <c r="BK91" s="110"/>
      <c r="BL91" s="110"/>
      <c r="BM91" s="207"/>
      <c r="BN91" s="207"/>
      <c r="BO91" s="207"/>
    </row>
    <row r="92" spans="1:67" ht="16.5" thickBot="1" x14ac:dyDescent="0.3">
      <c r="A92" s="3"/>
      <c r="B92" s="7"/>
      <c r="C92" s="356"/>
      <c r="D92" s="356"/>
      <c r="E92" s="372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6"/>
      <c r="AD92" s="6"/>
      <c r="AE92" s="6"/>
      <c r="AF92" s="3"/>
      <c r="AG92" s="3"/>
      <c r="AH92" s="3"/>
      <c r="AI92" s="6"/>
      <c r="AJ92" s="6"/>
      <c r="AK92" s="6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113"/>
      <c r="BA92" s="113"/>
      <c r="BB92" s="113"/>
      <c r="BC92" s="113"/>
      <c r="BD92" s="110"/>
      <c r="BE92" s="110"/>
      <c r="BF92" s="110"/>
      <c r="BG92" s="110"/>
      <c r="BH92" s="110"/>
      <c r="BI92" s="110"/>
      <c r="BJ92" s="110"/>
      <c r="BK92" s="110"/>
      <c r="BL92" s="110"/>
      <c r="BM92" s="207"/>
      <c r="BN92" s="207"/>
      <c r="BO92" s="207"/>
    </row>
    <row r="93" spans="1:67" ht="16.5" thickBot="1" x14ac:dyDescent="0.3">
      <c r="A93" s="3"/>
      <c r="B93" s="5" t="s">
        <v>111</v>
      </c>
      <c r="C93" s="357">
        <v>15</v>
      </c>
      <c r="D93" s="358">
        <v>15</v>
      </c>
      <c r="E93" s="359">
        <f>C93-D93</f>
        <v>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523"/>
      <c r="BE93" s="523"/>
      <c r="BF93" s="523"/>
      <c r="BG93" s="523"/>
      <c r="BH93" s="523"/>
      <c r="BI93" s="523"/>
      <c r="BJ93" s="523"/>
      <c r="BK93" s="198"/>
      <c r="BL93" s="198"/>
      <c r="BM93" s="208"/>
      <c r="BN93" s="208"/>
      <c r="BO93" s="208"/>
    </row>
    <row r="94" spans="1:67" ht="16.5" thickBot="1" x14ac:dyDescent="0.3">
      <c r="A94" s="3"/>
      <c r="B94" s="5" t="s">
        <v>79</v>
      </c>
      <c r="C94" s="357">
        <f>C77/C93</f>
        <v>279057.49333333335</v>
      </c>
      <c r="D94" s="358">
        <f>D77/D93</f>
        <v>234073.06666666668</v>
      </c>
      <c r="E94" s="359">
        <f>C94-D94</f>
        <v>44984.426666666666</v>
      </c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110"/>
      <c r="AX94" s="110"/>
      <c r="AY94" s="110"/>
      <c r="AZ94" s="110"/>
      <c r="BA94" s="110"/>
      <c r="BB94" s="110"/>
      <c r="BC94" s="110"/>
      <c r="BD94" s="110"/>
      <c r="BE94" s="110"/>
      <c r="BF94" s="110"/>
      <c r="BG94" s="110"/>
      <c r="BH94" s="110"/>
      <c r="BI94" s="110"/>
      <c r="BJ94" s="110"/>
      <c r="BK94" s="110"/>
      <c r="BL94" s="110"/>
      <c r="BM94" s="208"/>
      <c r="BN94" s="208"/>
      <c r="BO94" s="208"/>
    </row>
    <row r="95" spans="1:67" x14ac:dyDescent="0.25">
      <c r="H95" s="3"/>
      <c r="BJ95" s="110"/>
      <c r="BK95" s="110"/>
      <c r="BL95" s="110"/>
      <c r="BM95" s="207"/>
      <c r="BN95" s="207"/>
      <c r="BO95" s="207"/>
    </row>
    <row r="96" spans="1:67" x14ac:dyDescent="0.25">
      <c r="BJ96" s="177"/>
      <c r="BK96" s="177"/>
      <c r="BL96" s="177"/>
      <c r="BM96" s="178"/>
      <c r="BN96" s="178"/>
      <c r="BO96" s="178"/>
    </row>
    <row r="97" spans="41:69" x14ac:dyDescent="0.25">
      <c r="AW97" s="110"/>
      <c r="AX97" s="110"/>
      <c r="AY97" s="110"/>
      <c r="AZ97" s="110"/>
      <c r="BA97" s="110"/>
      <c r="BB97" s="110"/>
      <c r="BC97" s="110"/>
      <c r="BD97" s="110"/>
      <c r="BE97" s="110"/>
      <c r="BF97" s="110"/>
      <c r="BG97" s="110"/>
      <c r="BH97" s="110"/>
      <c r="BI97" s="110"/>
      <c r="BJ97" s="110"/>
      <c r="BK97" s="110"/>
      <c r="BL97" s="110"/>
      <c r="BM97" s="207"/>
      <c r="BN97" s="207"/>
      <c r="BO97" s="207"/>
    </row>
    <row r="98" spans="41:69" x14ac:dyDescent="0.25">
      <c r="AO98" s="3"/>
      <c r="AP98" s="3"/>
      <c r="AQ98" s="3"/>
      <c r="BD98" s="110"/>
      <c r="BE98" s="110"/>
      <c r="BF98" s="110"/>
      <c r="BG98" s="110"/>
      <c r="BH98" s="110"/>
      <c r="BI98" s="110"/>
      <c r="BJ98" s="110"/>
      <c r="BK98" s="110"/>
      <c r="BL98" s="110"/>
      <c r="BM98" s="207"/>
      <c r="BN98" s="207"/>
      <c r="BO98" s="207"/>
      <c r="BP98" s="110"/>
      <c r="BQ98" s="110"/>
    </row>
    <row r="99" spans="41:69" x14ac:dyDescent="0.25">
      <c r="BD99" s="110"/>
      <c r="BE99" s="110"/>
      <c r="BF99" s="110"/>
      <c r="BJ99" s="110"/>
      <c r="BK99" s="110"/>
      <c r="BL99" s="110"/>
      <c r="BM99" s="207"/>
      <c r="BN99" s="207"/>
      <c r="BO99" s="207"/>
    </row>
    <row r="100" spans="41:69" x14ac:dyDescent="0.25">
      <c r="BD100" s="110"/>
      <c r="BE100" s="110"/>
      <c r="BF100" s="110"/>
      <c r="BJ100" s="1"/>
      <c r="BK100" s="1"/>
      <c r="BL100" s="1"/>
      <c r="BM100" s="207"/>
      <c r="BN100" s="207"/>
      <c r="BO100" s="207"/>
    </row>
    <row r="101" spans="41:69" x14ac:dyDescent="0.25">
      <c r="BD101" s="110"/>
      <c r="BE101" s="110"/>
      <c r="BF101" s="110"/>
      <c r="BJ101" s="1"/>
      <c r="BK101" s="1"/>
      <c r="BL101" s="1"/>
      <c r="BM101" s="207"/>
      <c r="BN101" s="207"/>
      <c r="BO101" s="207"/>
    </row>
    <row r="102" spans="41:69" x14ac:dyDescent="0.25">
      <c r="BD102" s="110"/>
      <c r="BE102" s="110"/>
      <c r="BF102" s="110"/>
      <c r="BJ102" s="1"/>
      <c r="BK102" s="1"/>
      <c r="BL102" s="1"/>
      <c r="BM102" s="207"/>
      <c r="BN102" s="207"/>
      <c r="BO102" s="207"/>
    </row>
    <row r="103" spans="41:69" x14ac:dyDescent="0.25">
      <c r="BD103" s="110"/>
      <c r="BE103" s="110"/>
      <c r="BF103" s="110"/>
      <c r="BJ103" s="1"/>
      <c r="BK103" s="1"/>
      <c r="BL103" s="1"/>
      <c r="BM103" s="207"/>
      <c r="BN103" s="207"/>
      <c r="BO103" s="207"/>
    </row>
    <row r="104" spans="41:69" x14ac:dyDescent="0.25">
      <c r="BD104" s="110"/>
      <c r="BE104" s="110"/>
      <c r="BF104" s="110"/>
      <c r="BJ104" s="1"/>
      <c r="BK104" s="1"/>
      <c r="BL104" s="1"/>
      <c r="BM104" s="207"/>
      <c r="BN104" s="207"/>
      <c r="BO104" s="207"/>
    </row>
    <row r="105" spans="41:69" x14ac:dyDescent="0.25">
      <c r="BD105" s="110"/>
      <c r="BE105" s="110"/>
      <c r="BF105" s="110"/>
      <c r="BJ105" s="1"/>
      <c r="BK105" s="1"/>
      <c r="BL105" s="1"/>
      <c r="BM105" s="207"/>
      <c r="BN105" s="207"/>
      <c r="BO105" s="207"/>
    </row>
    <row r="106" spans="41:69" x14ac:dyDescent="0.25">
      <c r="BD106" s="110"/>
      <c r="BE106" s="110"/>
      <c r="BF106" s="110"/>
      <c r="BG106" s="24"/>
      <c r="BH106" s="24"/>
      <c r="BI106" s="24"/>
      <c r="BJ106" s="24"/>
      <c r="BK106" s="24"/>
      <c r="BL106" s="24"/>
      <c r="BM106" s="178"/>
      <c r="BN106" s="178"/>
      <c r="BO106" s="178"/>
    </row>
    <row r="107" spans="41:69" x14ac:dyDescent="0.25">
      <c r="BD107" s="110"/>
      <c r="BE107" s="110"/>
      <c r="BF107" s="110"/>
      <c r="BJ107" s="1"/>
      <c r="BK107" s="1"/>
      <c r="BL107" s="1"/>
      <c r="BM107" s="178"/>
      <c r="BN107" s="178"/>
      <c r="BO107" s="178"/>
    </row>
    <row r="108" spans="41:69" x14ac:dyDescent="0.25">
      <c r="BD108" s="196"/>
      <c r="BE108" s="196"/>
      <c r="BF108" s="196"/>
      <c r="BG108" s="209"/>
      <c r="BH108" s="209"/>
      <c r="BI108" s="209"/>
      <c r="BJ108" s="209"/>
      <c r="BK108" s="209"/>
      <c r="BL108" s="209"/>
      <c r="BM108" s="210"/>
      <c r="BN108" s="210"/>
      <c r="BO108" s="210"/>
    </row>
    <row r="109" spans="41:69" x14ac:dyDescent="0.25">
      <c r="BD109" s="196"/>
      <c r="BE109" s="196"/>
      <c r="BF109" s="196"/>
      <c r="BG109" s="209"/>
      <c r="BH109" s="209"/>
      <c r="BI109" s="209"/>
      <c r="BJ109" s="209"/>
      <c r="BK109" s="209"/>
      <c r="BL109" s="209"/>
      <c r="BM109" s="210"/>
      <c r="BN109" s="210"/>
      <c r="BO109" s="210"/>
    </row>
    <row r="110" spans="41:69" x14ac:dyDescent="0.25">
      <c r="BD110" s="196"/>
      <c r="BE110" s="196"/>
      <c r="BF110" s="196"/>
      <c r="BG110" s="209"/>
      <c r="BH110" s="209"/>
      <c r="BI110" s="209"/>
      <c r="BJ110" s="209"/>
      <c r="BK110" s="209"/>
      <c r="BL110" s="209"/>
      <c r="BM110" s="210"/>
      <c r="BN110" s="210"/>
      <c r="BO110" s="210"/>
    </row>
    <row r="111" spans="41:69" x14ac:dyDescent="0.25">
      <c r="BD111" s="196"/>
      <c r="BE111" s="196"/>
      <c r="BF111" s="196"/>
      <c r="BG111" s="209"/>
      <c r="BH111" s="209"/>
      <c r="BI111" s="209"/>
      <c r="BJ111" s="209"/>
      <c r="BK111" s="209"/>
      <c r="BL111" s="209"/>
      <c r="BM111" s="210"/>
      <c r="BN111" s="210"/>
      <c r="BO111" s="210"/>
    </row>
    <row r="112" spans="41:69" x14ac:dyDescent="0.25">
      <c r="BD112" s="196"/>
      <c r="BE112" s="196"/>
      <c r="BF112" s="196"/>
      <c r="BG112" s="209"/>
      <c r="BH112" s="209"/>
      <c r="BI112" s="209"/>
      <c r="BJ112" s="209"/>
      <c r="BK112" s="209"/>
      <c r="BL112" s="209"/>
      <c r="BM112" s="210"/>
      <c r="BN112" s="210"/>
      <c r="BO112" s="210"/>
    </row>
    <row r="113" spans="56:67" x14ac:dyDescent="0.25">
      <c r="BD113" s="196"/>
      <c r="BE113" s="196"/>
      <c r="BF113" s="196"/>
      <c r="BG113" s="209"/>
      <c r="BH113" s="209"/>
      <c r="BI113" s="209"/>
      <c r="BJ113" s="209"/>
      <c r="BK113" s="209"/>
      <c r="BL113" s="209"/>
      <c r="BM113" s="210"/>
      <c r="BN113" s="210"/>
      <c r="BO113" s="210"/>
    </row>
    <row r="114" spans="56:67" x14ac:dyDescent="0.25">
      <c r="BD114" s="196"/>
      <c r="BE114" s="196"/>
      <c r="BF114" s="196"/>
      <c r="BG114" s="209"/>
      <c r="BH114" s="209"/>
      <c r="BI114" s="209"/>
      <c r="BJ114" s="209"/>
      <c r="BK114" s="209"/>
      <c r="BL114" s="209"/>
      <c r="BM114" s="210"/>
      <c r="BN114" s="210"/>
      <c r="BO114" s="210"/>
    </row>
    <row r="115" spans="56:67" x14ac:dyDescent="0.25">
      <c r="BD115" s="196"/>
      <c r="BE115" s="196"/>
      <c r="BF115" s="196"/>
      <c r="BG115" s="209"/>
      <c r="BH115" s="209"/>
      <c r="BI115" s="209"/>
      <c r="BJ115" s="209"/>
      <c r="BK115" s="209"/>
      <c r="BL115" s="209"/>
      <c r="BM115" s="210"/>
      <c r="BN115" s="210"/>
      <c r="BO115" s="210"/>
    </row>
    <row r="116" spans="56:67" x14ac:dyDescent="0.25">
      <c r="BD116" s="196"/>
      <c r="BE116" s="196"/>
      <c r="BF116" s="196"/>
      <c r="BG116" s="209"/>
      <c r="BH116" s="209"/>
      <c r="BI116" s="209"/>
      <c r="BJ116" s="209"/>
      <c r="BK116" s="209"/>
      <c r="BL116" s="209"/>
      <c r="BM116" s="210"/>
      <c r="BN116" s="210"/>
      <c r="BO116" s="210"/>
    </row>
    <row r="117" spans="56:67" x14ac:dyDescent="0.25">
      <c r="BD117" s="196"/>
      <c r="BE117" s="196"/>
      <c r="BF117" s="196"/>
      <c r="BG117" s="209"/>
      <c r="BH117" s="209"/>
      <c r="BI117" s="209"/>
      <c r="BJ117" s="209"/>
      <c r="BK117" s="209"/>
      <c r="BL117" s="209"/>
      <c r="BM117" s="210"/>
      <c r="BN117" s="210"/>
      <c r="BO117" s="210"/>
    </row>
    <row r="118" spans="56:67" x14ac:dyDescent="0.25">
      <c r="BD118" s="196"/>
      <c r="BE118" s="196"/>
      <c r="BF118" s="196"/>
      <c r="BG118" s="209"/>
      <c r="BH118" s="209"/>
      <c r="BI118" s="209"/>
      <c r="BJ118" s="209"/>
      <c r="BK118" s="209"/>
      <c r="BL118" s="209"/>
      <c r="BM118" s="210"/>
      <c r="BN118" s="210"/>
      <c r="BO118" s="210"/>
    </row>
    <row r="119" spans="56:67" x14ac:dyDescent="0.25">
      <c r="BD119" s="196"/>
      <c r="BE119" s="196"/>
      <c r="BF119" s="196"/>
      <c r="BG119" s="209"/>
      <c r="BH119" s="209"/>
      <c r="BI119" s="209"/>
      <c r="BJ119" s="209"/>
      <c r="BK119" s="209"/>
      <c r="BL119" s="209"/>
      <c r="BM119" s="210"/>
      <c r="BN119" s="210"/>
      <c r="BO119" s="210"/>
    </row>
    <row r="120" spans="56:67" x14ac:dyDescent="0.25">
      <c r="BD120" s="196"/>
      <c r="BE120" s="196"/>
      <c r="BF120" s="196"/>
      <c r="BG120" s="209"/>
      <c r="BH120" s="209"/>
      <c r="BI120" s="209"/>
      <c r="BJ120" s="209"/>
      <c r="BK120" s="209"/>
      <c r="BL120" s="209"/>
      <c r="BM120" s="210"/>
      <c r="BN120" s="210"/>
      <c r="BO120" s="210"/>
    </row>
    <row r="121" spans="56:67" x14ac:dyDescent="0.25">
      <c r="BD121" s="196"/>
      <c r="BE121" s="196"/>
      <c r="BF121" s="196"/>
      <c r="BG121" s="209"/>
      <c r="BH121" s="209"/>
      <c r="BI121" s="209"/>
      <c r="BJ121" s="209"/>
      <c r="BK121" s="209"/>
      <c r="BL121" s="209"/>
      <c r="BM121" s="210"/>
      <c r="BN121" s="210"/>
      <c r="BO121" s="210"/>
    </row>
    <row r="122" spans="56:67" x14ac:dyDescent="0.25">
      <c r="BD122" s="196"/>
      <c r="BE122" s="196"/>
      <c r="BF122" s="196"/>
      <c r="BG122" s="209"/>
      <c r="BH122" s="209"/>
      <c r="BI122" s="209"/>
      <c r="BJ122" s="209"/>
      <c r="BK122" s="209"/>
      <c r="BL122" s="209"/>
      <c r="BM122" s="210"/>
      <c r="BN122" s="210"/>
      <c r="BO122" s="210"/>
    </row>
    <row r="123" spans="56:67" x14ac:dyDescent="0.25">
      <c r="BD123" s="196"/>
      <c r="BE123" s="196"/>
      <c r="BF123" s="196"/>
      <c r="BG123" s="209"/>
      <c r="BH123" s="209"/>
      <c r="BI123" s="209"/>
      <c r="BJ123" s="209"/>
      <c r="BK123" s="209"/>
      <c r="BL123" s="209"/>
      <c r="BM123" s="210"/>
      <c r="BN123" s="210"/>
      <c r="BO123" s="210"/>
    </row>
    <row r="124" spans="56:67" x14ac:dyDescent="0.25">
      <c r="BD124" s="196"/>
      <c r="BE124" s="196"/>
      <c r="BF124" s="196"/>
      <c r="BG124" s="209"/>
      <c r="BH124" s="209"/>
      <c r="BI124" s="209"/>
      <c r="BJ124" s="209"/>
      <c r="BK124" s="209"/>
      <c r="BL124" s="209"/>
      <c r="BM124" s="210"/>
      <c r="BN124" s="210"/>
      <c r="BO124" s="210"/>
    </row>
    <row r="125" spans="56:67" x14ac:dyDescent="0.25">
      <c r="BD125" s="196"/>
      <c r="BE125" s="196"/>
      <c r="BF125" s="196"/>
      <c r="BG125" s="209"/>
      <c r="BH125" s="209"/>
      <c r="BI125" s="209"/>
      <c r="BJ125" s="209"/>
      <c r="BK125" s="209"/>
      <c r="BL125" s="209"/>
      <c r="BM125" s="210"/>
      <c r="BN125" s="210"/>
      <c r="BO125" s="210"/>
    </row>
    <row r="126" spans="56:67" x14ac:dyDescent="0.25">
      <c r="BD126" s="196"/>
      <c r="BE126" s="196"/>
      <c r="BF126" s="196"/>
      <c r="BG126" s="209"/>
      <c r="BH126" s="209"/>
      <c r="BI126" s="209"/>
      <c r="BJ126" s="209"/>
      <c r="BK126" s="209"/>
      <c r="BL126" s="209"/>
      <c r="BM126" s="210"/>
      <c r="BN126" s="210"/>
      <c r="BO126" s="210"/>
    </row>
    <row r="127" spans="56:67" x14ac:dyDescent="0.25">
      <c r="BD127" s="196"/>
      <c r="BE127" s="196"/>
      <c r="BF127" s="196"/>
      <c r="BG127" s="209"/>
      <c r="BH127" s="209"/>
      <c r="BI127" s="209"/>
      <c r="BJ127" s="209"/>
      <c r="BK127" s="209"/>
      <c r="BL127" s="209"/>
      <c r="BM127" s="210"/>
      <c r="BN127" s="210"/>
      <c r="BO127" s="210"/>
    </row>
    <row r="128" spans="56:67" x14ac:dyDescent="0.25">
      <c r="BD128" s="196"/>
      <c r="BE128" s="196"/>
      <c r="BF128" s="196"/>
      <c r="BG128" s="209"/>
      <c r="BH128" s="209"/>
      <c r="BI128" s="209"/>
      <c r="BJ128" s="209"/>
      <c r="BK128" s="209"/>
      <c r="BL128" s="209"/>
      <c r="BM128" s="210"/>
      <c r="BN128" s="210"/>
      <c r="BO128" s="210"/>
    </row>
    <row r="129" spans="56:67" x14ac:dyDescent="0.25">
      <c r="BD129" s="196"/>
      <c r="BE129" s="196"/>
      <c r="BF129" s="196"/>
      <c r="BG129" s="209"/>
      <c r="BH129" s="209"/>
      <c r="BI129" s="209"/>
      <c r="BJ129" s="209"/>
      <c r="BK129" s="209"/>
      <c r="BL129" s="209"/>
      <c r="BM129" s="210"/>
      <c r="BN129" s="210"/>
      <c r="BO129" s="210"/>
    </row>
    <row r="130" spans="56:67" x14ac:dyDescent="0.25">
      <c r="BD130" s="196"/>
      <c r="BE130" s="196"/>
      <c r="BF130" s="196"/>
      <c r="BG130" s="209"/>
      <c r="BH130" s="209"/>
      <c r="BI130" s="209"/>
      <c r="BJ130" s="209"/>
      <c r="BK130" s="209"/>
      <c r="BL130" s="209"/>
      <c r="BM130" s="210"/>
      <c r="BN130" s="210"/>
      <c r="BO130" s="210"/>
    </row>
    <row r="131" spans="56:67" x14ac:dyDescent="0.25">
      <c r="BD131" s="196"/>
      <c r="BE131" s="196"/>
      <c r="BF131" s="196"/>
      <c r="BG131" s="209"/>
      <c r="BH131" s="209"/>
      <c r="BI131" s="209"/>
      <c r="BJ131" s="209"/>
      <c r="BK131" s="209"/>
      <c r="BL131" s="209"/>
      <c r="BM131" s="210"/>
      <c r="BN131" s="210"/>
      <c r="BO131" s="210"/>
    </row>
    <row r="132" spans="56:67" x14ac:dyDescent="0.25">
      <c r="BD132" s="196"/>
      <c r="BE132" s="196"/>
      <c r="BF132" s="196"/>
      <c r="BG132" s="209"/>
      <c r="BH132" s="209"/>
      <c r="BI132" s="209"/>
      <c r="BJ132" s="209"/>
      <c r="BK132" s="209"/>
      <c r="BL132" s="209"/>
      <c r="BM132" s="210"/>
      <c r="BN132" s="210"/>
      <c r="BO132" s="210"/>
    </row>
    <row r="133" spans="56:67" x14ac:dyDescent="0.25">
      <c r="BD133" s="196"/>
      <c r="BE133" s="196"/>
      <c r="BF133" s="196"/>
      <c r="BG133" s="209"/>
      <c r="BH133" s="209"/>
      <c r="BI133" s="209"/>
      <c r="BJ133" s="209"/>
      <c r="BK133" s="209"/>
      <c r="BL133" s="209"/>
      <c r="BM133" s="210"/>
      <c r="BN133" s="210"/>
      <c r="BO133" s="210"/>
    </row>
    <row r="134" spans="56:67" x14ac:dyDescent="0.25">
      <c r="BD134" s="196"/>
      <c r="BE134" s="196"/>
      <c r="BF134" s="196"/>
      <c r="BG134" s="209"/>
      <c r="BH134" s="209"/>
      <c r="BI134" s="209"/>
      <c r="BJ134" s="209"/>
      <c r="BK134" s="209"/>
      <c r="BL134" s="209"/>
      <c r="BM134" s="210"/>
      <c r="BN134" s="210"/>
      <c r="BO134" s="210"/>
    </row>
    <row r="135" spans="56:67" x14ac:dyDescent="0.25">
      <c r="BD135" s="196"/>
      <c r="BE135" s="196"/>
      <c r="BF135" s="196"/>
      <c r="BG135" s="209"/>
      <c r="BH135" s="209"/>
      <c r="BI135" s="209"/>
      <c r="BJ135" s="209"/>
      <c r="BK135" s="209"/>
      <c r="BL135" s="209"/>
      <c r="BM135" s="210"/>
      <c r="BN135" s="210"/>
      <c r="BO135" s="210"/>
    </row>
    <row r="136" spans="56:67" x14ac:dyDescent="0.25">
      <c r="BD136" s="196"/>
      <c r="BE136" s="196"/>
      <c r="BF136" s="196"/>
      <c r="BG136" s="209"/>
      <c r="BH136" s="209"/>
      <c r="BI136" s="209"/>
      <c r="BJ136" s="209"/>
      <c r="BK136" s="209"/>
      <c r="BL136" s="209"/>
      <c r="BM136" s="210"/>
      <c r="BN136" s="210"/>
      <c r="BO136" s="210"/>
    </row>
    <row r="137" spans="56:67" x14ac:dyDescent="0.25">
      <c r="BD137" s="196"/>
      <c r="BE137" s="196"/>
      <c r="BF137" s="196"/>
      <c r="BG137" s="209"/>
      <c r="BH137" s="209"/>
      <c r="BI137" s="209"/>
      <c r="BJ137" s="209"/>
      <c r="BK137" s="209"/>
      <c r="BL137" s="209"/>
      <c r="BM137" s="210"/>
      <c r="BN137" s="210"/>
      <c r="BO137" s="210"/>
    </row>
    <row r="138" spans="56:67" x14ac:dyDescent="0.25">
      <c r="BD138" s="196"/>
      <c r="BE138" s="196"/>
      <c r="BF138" s="196"/>
      <c r="BG138" s="209"/>
      <c r="BH138" s="209"/>
      <c r="BI138" s="209"/>
      <c r="BJ138" s="209"/>
      <c r="BK138" s="209"/>
      <c r="BL138" s="209"/>
      <c r="BM138" s="210"/>
      <c r="BN138" s="210"/>
      <c r="BO138" s="210"/>
    </row>
    <row r="139" spans="56:67" x14ac:dyDescent="0.25">
      <c r="BD139" s="196"/>
      <c r="BE139" s="196"/>
      <c r="BF139" s="196"/>
      <c r="BG139" s="209"/>
      <c r="BH139" s="209"/>
      <c r="BI139" s="209"/>
      <c r="BJ139" s="209"/>
      <c r="BK139" s="209"/>
      <c r="BL139" s="209"/>
      <c r="BM139" s="210"/>
      <c r="BN139" s="210"/>
      <c r="BO139" s="210"/>
    </row>
    <row r="140" spans="56:67" x14ac:dyDescent="0.25">
      <c r="BD140" s="196"/>
      <c r="BE140" s="196"/>
      <c r="BF140" s="196"/>
      <c r="BG140" s="209"/>
      <c r="BH140" s="209"/>
      <c r="BI140" s="209"/>
      <c r="BJ140" s="209"/>
      <c r="BK140" s="209"/>
      <c r="BL140" s="209"/>
      <c r="BM140" s="210"/>
      <c r="BN140" s="210"/>
      <c r="BO140" s="210"/>
    </row>
    <row r="141" spans="56:67" x14ac:dyDescent="0.25">
      <c r="BD141" s="196"/>
      <c r="BE141" s="196"/>
      <c r="BF141" s="196"/>
      <c r="BG141" s="209"/>
      <c r="BH141" s="209"/>
      <c r="BI141" s="209"/>
      <c r="BJ141" s="209"/>
      <c r="BK141" s="209"/>
      <c r="BL141" s="209"/>
      <c r="BM141" s="210"/>
      <c r="BN141" s="210"/>
      <c r="BO141" s="210"/>
    </row>
    <row r="142" spans="56:67" x14ac:dyDescent="0.25">
      <c r="BD142" s="197"/>
      <c r="BE142" s="197"/>
      <c r="BF142" s="197"/>
      <c r="BG142" s="211"/>
      <c r="BH142" s="211"/>
      <c r="BI142" s="211"/>
      <c r="BJ142" s="211"/>
      <c r="BK142" s="211"/>
      <c r="BL142" s="211"/>
      <c r="BM142" s="212"/>
      <c r="BN142" s="212"/>
      <c r="BO142" s="212"/>
    </row>
    <row r="143" spans="56:67" x14ac:dyDescent="0.25">
      <c r="BD143" s="197"/>
      <c r="BE143" s="197"/>
      <c r="BF143" s="197"/>
      <c r="BG143" s="211"/>
      <c r="BH143" s="211"/>
      <c r="BI143" s="211"/>
      <c r="BJ143" s="211"/>
      <c r="BK143" s="211"/>
      <c r="BL143" s="211"/>
      <c r="BM143" s="212"/>
      <c r="BN143" s="212"/>
      <c r="BO143" s="212"/>
    </row>
    <row r="144" spans="56:67" x14ac:dyDescent="0.25">
      <c r="BD144" s="177"/>
      <c r="BE144" s="177"/>
      <c r="BF144" s="177"/>
      <c r="BG144" s="24"/>
      <c r="BH144" s="24"/>
      <c r="BI144" s="24"/>
      <c r="BJ144" s="1"/>
      <c r="BK144" s="1"/>
      <c r="BL144" s="1"/>
      <c r="BM144" s="178"/>
      <c r="BN144" s="178"/>
      <c r="BO144" s="178"/>
    </row>
    <row r="145" spans="2:70" x14ac:dyDescent="0.25">
      <c r="BD145" s="177"/>
      <c r="BE145" s="177"/>
      <c r="BF145" s="177"/>
      <c r="BG145" s="24"/>
      <c r="BH145" s="24"/>
      <c r="BI145" s="24"/>
      <c r="BJ145" s="1"/>
      <c r="BK145" s="1"/>
      <c r="BL145" s="1"/>
      <c r="BM145" s="178"/>
      <c r="BN145" s="178"/>
      <c r="BO145" s="178"/>
    </row>
    <row r="146" spans="2:70" x14ac:dyDescent="0.25">
      <c r="BD146" s="110"/>
      <c r="BE146" s="110"/>
      <c r="BF146" s="110"/>
      <c r="BJ146" s="1"/>
      <c r="BK146" s="1"/>
      <c r="BL146" s="1"/>
      <c r="BM146" s="178"/>
      <c r="BN146" s="178"/>
      <c r="BO146" s="178"/>
    </row>
    <row r="147" spans="2:70" x14ac:dyDescent="0.25">
      <c r="BD147" s="110"/>
      <c r="BE147" s="110"/>
      <c r="BF147" s="110"/>
      <c r="BJ147" s="1"/>
      <c r="BK147" s="1"/>
      <c r="BL147" s="1"/>
      <c r="BM147" s="207"/>
      <c r="BN147" s="207"/>
      <c r="BO147" s="207"/>
    </row>
    <row r="148" spans="2:70" ht="28.5" x14ac:dyDescent="0.45">
      <c r="B148" s="213"/>
      <c r="BD148" s="110"/>
      <c r="BE148" s="110"/>
      <c r="BF148" s="110"/>
      <c r="BJ148" s="177"/>
      <c r="BK148" s="177"/>
      <c r="BL148" s="177"/>
      <c r="BM148" s="212"/>
      <c r="BN148" s="212"/>
      <c r="BO148" s="212"/>
    </row>
    <row r="149" spans="2:70" ht="28.5" x14ac:dyDescent="0.45">
      <c r="B149" s="213"/>
      <c r="BD149" s="110"/>
      <c r="BE149" s="110"/>
      <c r="BF149" s="110"/>
      <c r="BJ149" s="177"/>
      <c r="BK149" s="177"/>
      <c r="BL149" s="177"/>
      <c r="BM149" s="212"/>
      <c r="BN149" s="212"/>
      <c r="BO149" s="212"/>
    </row>
    <row r="150" spans="2:70" ht="28.5" x14ac:dyDescent="0.45">
      <c r="B150" s="213"/>
      <c r="BD150" s="110"/>
      <c r="BE150" s="110"/>
      <c r="BF150" s="110"/>
      <c r="BJ150" s="177"/>
      <c r="BK150" s="177"/>
      <c r="BL150" s="177"/>
      <c r="BM150" s="212"/>
      <c r="BN150" s="212"/>
      <c r="BO150" s="212"/>
    </row>
    <row r="151" spans="2:70" x14ac:dyDescent="0.25">
      <c r="BJ151" s="1"/>
      <c r="BK151" s="1"/>
      <c r="BL151" s="1"/>
      <c r="BM151" s="212"/>
      <c r="BN151" s="212"/>
      <c r="BO151" s="212"/>
    </row>
    <row r="152" spans="2:70" x14ac:dyDescent="0.25">
      <c r="B152" s="215"/>
      <c r="BJ152" s="1"/>
      <c r="BK152" s="1"/>
      <c r="BL152" s="1"/>
      <c r="BM152" s="212"/>
      <c r="BN152" s="212"/>
      <c r="BO152" s="212"/>
    </row>
    <row r="153" spans="2:70" x14ac:dyDescent="0.25">
      <c r="B153" s="216"/>
      <c r="C153" s="128"/>
      <c r="D153" s="128"/>
      <c r="E153" s="128"/>
      <c r="F153" s="128"/>
      <c r="G153" s="128"/>
      <c r="H153" s="128"/>
      <c r="I153" s="125"/>
      <c r="J153" s="125"/>
      <c r="K153" s="125"/>
      <c r="L153" s="128"/>
      <c r="M153" s="128"/>
      <c r="N153" s="128"/>
      <c r="O153" s="125"/>
      <c r="P153" s="125"/>
      <c r="Q153" s="125"/>
      <c r="R153" s="125"/>
      <c r="S153" s="125"/>
      <c r="T153" s="125"/>
      <c r="U153" s="125"/>
      <c r="V153" s="125"/>
      <c r="W153" s="125"/>
      <c r="X153" s="125"/>
      <c r="Y153" s="125"/>
      <c r="Z153" s="125"/>
      <c r="AA153" s="125"/>
      <c r="AB153" s="125"/>
      <c r="AC153" s="125"/>
      <c r="AD153" s="125"/>
      <c r="AE153" s="125"/>
      <c r="AF153" s="125"/>
      <c r="AG153" s="125"/>
      <c r="AH153" s="125"/>
      <c r="AI153" s="125"/>
      <c r="AJ153" s="125"/>
      <c r="AK153" s="125"/>
      <c r="AL153" s="125"/>
      <c r="AM153" s="125"/>
      <c r="AN153" s="125"/>
      <c r="AO153" s="125"/>
      <c r="AP153" s="125"/>
      <c r="AQ153" s="125"/>
      <c r="AR153" s="125"/>
      <c r="AS153" s="125"/>
      <c r="AT153" s="125"/>
      <c r="AU153" s="125"/>
      <c r="AV153" s="125"/>
      <c r="AW153" s="125"/>
      <c r="AX153" s="125"/>
      <c r="AY153" s="125"/>
      <c r="AZ153" s="125"/>
      <c r="BA153" s="125"/>
      <c r="BB153" s="125"/>
      <c r="BC153" s="125"/>
      <c r="BD153" s="24"/>
      <c r="BE153" s="24"/>
      <c r="BF153" s="24"/>
      <c r="BG153" s="24"/>
      <c r="BH153" s="24"/>
      <c r="BI153" s="24"/>
      <c r="BJ153" s="177"/>
      <c r="BK153" s="177"/>
      <c r="BL153" s="177"/>
      <c r="BM153" s="212"/>
      <c r="BN153" s="212"/>
      <c r="BO153" s="212"/>
      <c r="BR153" s="125"/>
    </row>
    <row r="154" spans="2:70" ht="18.75" x14ac:dyDescent="0.3">
      <c r="B154" s="217"/>
      <c r="C154" s="125"/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  <c r="Y154" s="125"/>
      <c r="Z154" s="125"/>
      <c r="AA154" s="125"/>
      <c r="AB154" s="125"/>
      <c r="AC154" s="125"/>
      <c r="AD154" s="125"/>
      <c r="AE154" s="125"/>
      <c r="AF154" s="125"/>
      <c r="AG154" s="125"/>
      <c r="AH154" s="125"/>
      <c r="AI154" s="125"/>
      <c r="AJ154" s="125"/>
      <c r="AK154" s="125"/>
      <c r="AL154" s="125"/>
      <c r="AM154" s="125"/>
      <c r="AN154" s="125"/>
      <c r="AO154" s="125"/>
      <c r="AP154" s="125"/>
      <c r="AQ154" s="125"/>
      <c r="AR154" s="125"/>
      <c r="AS154" s="125"/>
      <c r="AT154" s="125"/>
      <c r="AU154" s="125"/>
      <c r="AV154" s="125"/>
      <c r="AW154" s="125"/>
      <c r="AX154" s="125"/>
      <c r="AY154" s="125"/>
      <c r="AZ154" s="125"/>
      <c r="BA154" s="125"/>
      <c r="BB154" s="125"/>
      <c r="BC154" s="125"/>
      <c r="BD154" s="125"/>
      <c r="BE154" s="125"/>
      <c r="BF154" s="125"/>
      <c r="BG154" s="125"/>
      <c r="BH154" s="125"/>
      <c r="BI154" s="125"/>
      <c r="BJ154" s="125"/>
      <c r="BK154" s="125"/>
      <c r="BL154" s="125"/>
      <c r="BM154" s="125"/>
      <c r="BN154" s="125"/>
      <c r="BO154" s="125"/>
      <c r="BP154" s="128"/>
      <c r="BQ154" s="125"/>
      <c r="BR154" s="125"/>
    </row>
    <row r="155" spans="2:70" x14ac:dyDescent="0.25">
      <c r="B155" s="216"/>
      <c r="C155" s="125"/>
      <c r="D155" s="125"/>
      <c r="E155" s="125"/>
      <c r="F155" s="125"/>
      <c r="G155" s="125"/>
      <c r="H155" s="125"/>
      <c r="I155" s="125"/>
      <c r="J155" s="125"/>
      <c r="K155" s="125"/>
      <c r="L155" s="125"/>
      <c r="M155" s="125"/>
      <c r="N155" s="125"/>
      <c r="O155" s="125"/>
      <c r="P155" s="125"/>
      <c r="Q155" s="125"/>
      <c r="R155" s="125"/>
      <c r="S155" s="125"/>
      <c r="T155" s="125"/>
      <c r="U155" s="125"/>
      <c r="V155" s="125"/>
      <c r="W155" s="125"/>
      <c r="X155" s="125"/>
      <c r="Y155" s="125"/>
      <c r="Z155" s="125"/>
      <c r="AA155" s="125"/>
      <c r="AB155" s="125"/>
      <c r="AC155" s="125"/>
      <c r="AD155" s="125"/>
      <c r="AE155" s="125"/>
      <c r="AF155" s="125"/>
      <c r="AG155" s="125"/>
      <c r="AH155" s="125"/>
      <c r="AI155" s="125"/>
      <c r="AJ155" s="125"/>
      <c r="AK155" s="125"/>
      <c r="AL155" s="125"/>
      <c r="AM155" s="125"/>
      <c r="AN155" s="125"/>
      <c r="AO155" s="125"/>
      <c r="AP155" s="125"/>
      <c r="AQ155" s="125"/>
      <c r="AR155" s="125"/>
      <c r="AS155" s="125"/>
      <c r="AT155" s="125"/>
      <c r="AU155" s="125"/>
      <c r="AV155" s="125"/>
      <c r="AW155" s="125"/>
      <c r="AX155" s="125"/>
      <c r="AY155" s="125"/>
      <c r="AZ155" s="125"/>
      <c r="BA155" s="125"/>
      <c r="BB155" s="125"/>
      <c r="BC155" s="125"/>
      <c r="BD155" s="125"/>
      <c r="BE155" s="125"/>
      <c r="BF155" s="125"/>
      <c r="BG155" s="125"/>
      <c r="BH155" s="125"/>
      <c r="BI155" s="125"/>
      <c r="BJ155" s="125"/>
      <c r="BK155" s="125"/>
      <c r="BL155" s="125"/>
      <c r="BM155" s="125"/>
      <c r="BN155" s="125"/>
      <c r="BO155" s="125"/>
      <c r="BP155" s="128"/>
      <c r="BQ155" s="125"/>
      <c r="BR155" s="125"/>
    </row>
    <row r="156" spans="2:70" x14ac:dyDescent="0.25">
      <c r="B156" s="216"/>
      <c r="C156" s="125"/>
      <c r="D156" s="125"/>
      <c r="E156" s="125"/>
      <c r="F156" s="125"/>
      <c r="G156" s="125"/>
      <c r="H156" s="125"/>
      <c r="I156" s="125"/>
      <c r="J156" s="125"/>
      <c r="K156" s="125"/>
      <c r="L156" s="125"/>
      <c r="M156" s="125"/>
      <c r="N156" s="125"/>
      <c r="O156" s="125"/>
      <c r="P156" s="125"/>
      <c r="Q156" s="125"/>
      <c r="R156" s="125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5"/>
      <c r="BC156" s="125"/>
      <c r="BD156" s="125"/>
      <c r="BE156" s="125"/>
      <c r="BF156" s="125"/>
      <c r="BG156" s="125"/>
      <c r="BH156" s="125"/>
      <c r="BI156" s="125"/>
      <c r="BJ156" s="125"/>
      <c r="BK156" s="125"/>
      <c r="BL156" s="125"/>
      <c r="BM156" s="125"/>
      <c r="BN156" s="125"/>
      <c r="BO156" s="125"/>
      <c r="BP156" s="128"/>
      <c r="BQ156" s="125"/>
      <c r="BR156" s="125"/>
    </row>
    <row r="157" spans="2:70" x14ac:dyDescent="0.25">
      <c r="B157" s="216"/>
      <c r="C157" s="125"/>
      <c r="D157" s="125"/>
      <c r="E157" s="125"/>
      <c r="F157" s="125"/>
      <c r="G157" s="125"/>
      <c r="H157" s="125"/>
      <c r="I157" s="125"/>
      <c r="J157" s="125"/>
      <c r="K157" s="125"/>
      <c r="L157" s="125"/>
      <c r="M157" s="125"/>
      <c r="N157" s="125"/>
      <c r="O157" s="125"/>
      <c r="P157" s="125"/>
      <c r="Q157" s="125"/>
      <c r="R157" s="125"/>
      <c r="S157" s="125"/>
      <c r="T157" s="125"/>
      <c r="U157" s="125"/>
      <c r="V157" s="125"/>
      <c r="W157" s="125"/>
      <c r="X157" s="125"/>
      <c r="Y157" s="125"/>
      <c r="Z157" s="125"/>
      <c r="AA157" s="125"/>
      <c r="AB157" s="125"/>
      <c r="AC157" s="125"/>
      <c r="AD157" s="125"/>
      <c r="AE157" s="125"/>
      <c r="AF157" s="125"/>
      <c r="AG157" s="125"/>
      <c r="AH157" s="125"/>
      <c r="AI157" s="125"/>
      <c r="AJ157" s="125"/>
      <c r="AK157" s="125"/>
      <c r="AL157" s="125"/>
      <c r="AM157" s="125"/>
      <c r="AN157" s="125"/>
      <c r="AO157" s="125"/>
      <c r="AP157" s="125"/>
      <c r="AQ157" s="125"/>
      <c r="AR157" s="125"/>
      <c r="AS157" s="125"/>
      <c r="AT157" s="125"/>
      <c r="AU157" s="125"/>
      <c r="AV157" s="125"/>
      <c r="AW157" s="125"/>
      <c r="AX157" s="125"/>
      <c r="AY157" s="125"/>
      <c r="AZ157" s="125"/>
      <c r="BA157" s="125"/>
      <c r="BB157" s="125"/>
      <c r="BC157" s="125"/>
      <c r="BD157" s="125"/>
      <c r="BE157" s="125"/>
      <c r="BF157" s="125"/>
      <c r="BG157" s="125"/>
      <c r="BH157" s="125"/>
      <c r="BI157" s="125"/>
      <c r="BJ157" s="125"/>
      <c r="BK157" s="125"/>
      <c r="BL157" s="125"/>
      <c r="BM157" s="125"/>
      <c r="BN157" s="125"/>
      <c r="BO157" s="125"/>
      <c r="BP157" s="128"/>
      <c r="BQ157" s="125"/>
      <c r="BR157" s="125"/>
    </row>
    <row r="158" spans="2:70" x14ac:dyDescent="0.25">
      <c r="B158" s="218"/>
      <c r="C158" s="125"/>
      <c r="D158" s="125"/>
      <c r="E158" s="125"/>
      <c r="F158" s="125"/>
      <c r="G158" s="125"/>
      <c r="H158" s="125"/>
      <c r="I158" s="125"/>
      <c r="J158" s="125"/>
      <c r="K158" s="125"/>
      <c r="L158" s="125"/>
      <c r="M158" s="125"/>
      <c r="N158" s="125"/>
      <c r="O158" s="125"/>
      <c r="P158" s="125"/>
      <c r="Q158" s="125"/>
      <c r="R158" s="125"/>
      <c r="S158" s="125"/>
      <c r="T158" s="125"/>
      <c r="U158" s="125"/>
      <c r="V158" s="125"/>
      <c r="W158" s="125"/>
      <c r="X158" s="125"/>
      <c r="Y158" s="125"/>
      <c r="Z158" s="125"/>
      <c r="AA158" s="125"/>
      <c r="AB158" s="125"/>
      <c r="AC158" s="125"/>
      <c r="AD158" s="125"/>
      <c r="AE158" s="125"/>
      <c r="AF158" s="125"/>
      <c r="AG158" s="125"/>
      <c r="AH158" s="125"/>
      <c r="AI158" s="125"/>
      <c r="AJ158" s="125"/>
      <c r="AK158" s="125"/>
      <c r="AL158" s="125"/>
      <c r="AM158" s="125"/>
      <c r="AN158" s="125"/>
      <c r="AO158" s="125"/>
      <c r="AP158" s="125"/>
      <c r="AQ158" s="125"/>
      <c r="AR158" s="125"/>
      <c r="AS158" s="125"/>
      <c r="AT158" s="125"/>
      <c r="AU158" s="125"/>
      <c r="AV158" s="125"/>
      <c r="AW158" s="125"/>
      <c r="AX158" s="125"/>
      <c r="AY158" s="125"/>
      <c r="AZ158" s="125"/>
      <c r="BA158" s="125"/>
      <c r="BB158" s="125"/>
      <c r="BC158" s="125"/>
      <c r="BD158" s="125"/>
      <c r="BE158" s="125"/>
      <c r="BF158" s="125"/>
      <c r="BG158" s="125"/>
      <c r="BH158" s="125"/>
      <c r="BI158" s="125"/>
      <c r="BJ158" s="125"/>
      <c r="BK158" s="125"/>
      <c r="BL158" s="125"/>
      <c r="BM158" s="125"/>
      <c r="BN158" s="125"/>
      <c r="BO158" s="125"/>
      <c r="BP158" s="128"/>
      <c r="BQ158" s="125"/>
      <c r="BR158" s="125"/>
    </row>
    <row r="159" spans="2:70" x14ac:dyDescent="0.25">
      <c r="B159" s="218"/>
      <c r="C159" s="125"/>
      <c r="D159" s="125"/>
      <c r="E159" s="125"/>
      <c r="F159" s="125"/>
      <c r="G159" s="125"/>
      <c r="H159" s="125"/>
      <c r="I159" s="125"/>
      <c r="J159" s="125"/>
      <c r="K159" s="125"/>
      <c r="L159" s="125"/>
      <c r="M159" s="125"/>
      <c r="N159" s="125"/>
      <c r="O159" s="125"/>
      <c r="P159" s="125"/>
      <c r="Q159" s="125"/>
      <c r="R159" s="125"/>
      <c r="S159" s="125"/>
      <c r="T159" s="125"/>
      <c r="U159" s="125"/>
      <c r="V159" s="125"/>
      <c r="W159" s="125"/>
      <c r="X159" s="125"/>
      <c r="Y159" s="125"/>
      <c r="Z159" s="125"/>
      <c r="AA159" s="125"/>
      <c r="AB159" s="125"/>
      <c r="AC159" s="125"/>
      <c r="AD159" s="125"/>
      <c r="AE159" s="125"/>
      <c r="AF159" s="125"/>
      <c r="AG159" s="125"/>
      <c r="AH159" s="125"/>
      <c r="AI159" s="125"/>
      <c r="AJ159" s="125"/>
      <c r="AK159" s="125"/>
      <c r="AL159" s="125"/>
      <c r="AM159" s="125"/>
      <c r="AN159" s="125"/>
      <c r="AO159" s="125"/>
      <c r="AP159" s="125"/>
      <c r="AQ159" s="125"/>
      <c r="AR159" s="125"/>
      <c r="AS159" s="125"/>
      <c r="AT159" s="125"/>
      <c r="AU159" s="125"/>
      <c r="AV159" s="125"/>
      <c r="AW159" s="125"/>
      <c r="AX159" s="125"/>
      <c r="AY159" s="125"/>
      <c r="AZ159" s="125"/>
      <c r="BA159" s="125"/>
      <c r="BB159" s="125"/>
      <c r="BC159" s="125"/>
      <c r="BD159" s="125"/>
      <c r="BE159" s="125"/>
      <c r="BF159" s="125"/>
      <c r="BG159" s="125"/>
      <c r="BH159" s="125"/>
      <c r="BI159" s="125"/>
      <c r="BJ159" s="125"/>
      <c r="BK159" s="125"/>
      <c r="BL159" s="125"/>
      <c r="BM159" s="125"/>
      <c r="BN159" s="125"/>
      <c r="BO159" s="125"/>
      <c r="BP159" s="128"/>
      <c r="BQ159" s="125"/>
      <c r="BR159" s="125"/>
    </row>
    <row r="160" spans="2:70" x14ac:dyDescent="0.25">
      <c r="B160" s="218"/>
      <c r="C160" s="125"/>
      <c r="D160" s="125"/>
      <c r="E160" s="125"/>
      <c r="F160" s="125"/>
      <c r="G160" s="125"/>
      <c r="H160" s="125"/>
      <c r="I160" s="125"/>
      <c r="J160" s="125"/>
      <c r="K160" s="125"/>
      <c r="L160" s="125"/>
      <c r="M160" s="125"/>
      <c r="N160" s="125"/>
      <c r="O160" s="125"/>
      <c r="P160" s="125"/>
      <c r="Q160" s="125"/>
      <c r="R160" s="125"/>
      <c r="S160" s="125"/>
      <c r="T160" s="125"/>
      <c r="U160" s="125"/>
      <c r="V160" s="125"/>
      <c r="W160" s="125"/>
      <c r="X160" s="125"/>
      <c r="Y160" s="125"/>
      <c r="Z160" s="125"/>
      <c r="AA160" s="125"/>
      <c r="AB160" s="125"/>
      <c r="AC160" s="125"/>
      <c r="AD160" s="125"/>
      <c r="AE160" s="125"/>
      <c r="AF160" s="125"/>
      <c r="AG160" s="125"/>
      <c r="AH160" s="125"/>
      <c r="AI160" s="125"/>
      <c r="AJ160" s="125"/>
      <c r="AK160" s="125"/>
      <c r="AL160" s="125"/>
      <c r="AM160" s="125"/>
      <c r="AN160" s="125"/>
      <c r="AO160" s="125"/>
      <c r="AP160" s="125"/>
      <c r="AQ160" s="125"/>
      <c r="AR160" s="125"/>
      <c r="AS160" s="125"/>
      <c r="AT160" s="125"/>
      <c r="AU160" s="125"/>
      <c r="AV160" s="125"/>
      <c r="AW160" s="125"/>
      <c r="AX160" s="125"/>
      <c r="AY160" s="125"/>
      <c r="AZ160" s="125"/>
      <c r="BA160" s="125"/>
      <c r="BB160" s="125"/>
      <c r="BC160" s="125"/>
      <c r="BD160" s="125"/>
      <c r="BE160" s="125"/>
      <c r="BF160" s="125"/>
      <c r="BG160" s="125"/>
      <c r="BH160" s="125"/>
      <c r="BI160" s="125"/>
      <c r="BJ160" s="125"/>
      <c r="BK160" s="125"/>
      <c r="BL160" s="125"/>
      <c r="BM160" s="125"/>
      <c r="BN160" s="125"/>
      <c r="BO160" s="125"/>
      <c r="BP160" s="128"/>
      <c r="BQ160" s="125"/>
      <c r="BR160" s="125"/>
    </row>
    <row r="161" spans="2:70" x14ac:dyDescent="0.25">
      <c r="B161" s="218"/>
      <c r="C161" s="125"/>
      <c r="D161" s="125"/>
      <c r="E161" s="125"/>
      <c r="F161" s="125"/>
      <c r="G161" s="125"/>
      <c r="H161" s="125"/>
      <c r="I161" s="125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  <c r="T161" s="125"/>
      <c r="U161" s="125"/>
      <c r="V161" s="125"/>
      <c r="W161" s="125"/>
      <c r="X161" s="125"/>
      <c r="Y161" s="125"/>
      <c r="Z161" s="125"/>
      <c r="AA161" s="125"/>
      <c r="AB161" s="125"/>
      <c r="AC161" s="125"/>
      <c r="AD161" s="125"/>
      <c r="AE161" s="125"/>
      <c r="AF161" s="125"/>
      <c r="AG161" s="125"/>
      <c r="AH161" s="125"/>
      <c r="AI161" s="125"/>
      <c r="AJ161" s="125"/>
      <c r="AK161" s="125"/>
      <c r="AL161" s="125"/>
      <c r="AM161" s="125"/>
      <c r="AN161" s="125"/>
      <c r="AO161" s="125"/>
      <c r="AP161" s="125"/>
      <c r="AQ161" s="125"/>
      <c r="AR161" s="125"/>
      <c r="AS161" s="125"/>
      <c r="AT161" s="125"/>
      <c r="AU161" s="125"/>
      <c r="AV161" s="125"/>
      <c r="AW161" s="125"/>
      <c r="AX161" s="125"/>
      <c r="AY161" s="125"/>
      <c r="AZ161" s="125"/>
      <c r="BA161" s="125"/>
      <c r="BB161" s="125"/>
      <c r="BC161" s="125"/>
      <c r="BD161" s="125"/>
      <c r="BE161" s="125"/>
      <c r="BF161" s="125"/>
      <c r="BG161" s="125"/>
      <c r="BH161" s="125"/>
      <c r="BI161" s="125"/>
      <c r="BJ161" s="125"/>
      <c r="BK161" s="125"/>
      <c r="BL161" s="125"/>
      <c r="BM161" s="125"/>
      <c r="BN161" s="125"/>
      <c r="BO161" s="125"/>
      <c r="BP161" s="128"/>
      <c r="BQ161" s="125"/>
      <c r="BR161" s="125"/>
    </row>
    <row r="162" spans="2:70" x14ac:dyDescent="0.25">
      <c r="B162" s="218"/>
      <c r="C162" s="125"/>
      <c r="D162" s="125"/>
      <c r="E162" s="125"/>
      <c r="F162" s="125"/>
      <c r="G162" s="125"/>
      <c r="H162" s="125"/>
      <c r="I162" s="125"/>
      <c r="J162" s="125"/>
      <c r="K162" s="125"/>
      <c r="L162" s="125"/>
      <c r="M162" s="125"/>
      <c r="N162" s="125"/>
      <c r="O162" s="125"/>
      <c r="P162" s="125"/>
      <c r="Q162" s="125"/>
      <c r="R162" s="125"/>
      <c r="S162" s="125"/>
      <c r="T162" s="125"/>
      <c r="U162" s="125"/>
      <c r="V162" s="125"/>
      <c r="W162" s="125"/>
      <c r="X162" s="125"/>
      <c r="Y162" s="125"/>
      <c r="Z162" s="125"/>
      <c r="AA162" s="125"/>
      <c r="AB162" s="125"/>
      <c r="AC162" s="125"/>
      <c r="AD162" s="125"/>
      <c r="AE162" s="125"/>
      <c r="AF162" s="125"/>
      <c r="AG162" s="125"/>
      <c r="AH162" s="125"/>
      <c r="AI162" s="125"/>
      <c r="AJ162" s="125"/>
      <c r="AK162" s="125"/>
      <c r="AL162" s="125"/>
      <c r="AM162" s="125"/>
      <c r="AN162" s="125"/>
      <c r="AO162" s="125"/>
      <c r="AP162" s="125"/>
      <c r="AQ162" s="125"/>
      <c r="AR162" s="125"/>
      <c r="AS162" s="125"/>
      <c r="AT162" s="125"/>
      <c r="AU162" s="125"/>
      <c r="AV162" s="125"/>
      <c r="AW162" s="125"/>
      <c r="AX162" s="125"/>
      <c r="AY162" s="125"/>
      <c r="AZ162" s="125"/>
      <c r="BA162" s="125"/>
      <c r="BB162" s="125"/>
      <c r="BC162" s="125"/>
      <c r="BD162" s="125"/>
      <c r="BE162" s="125"/>
      <c r="BF162" s="125"/>
      <c r="BG162" s="125"/>
      <c r="BH162" s="125"/>
      <c r="BI162" s="125"/>
      <c r="BJ162" s="125"/>
      <c r="BK162" s="125"/>
      <c r="BL162" s="125"/>
      <c r="BM162" s="125"/>
      <c r="BN162" s="125"/>
      <c r="BO162" s="125"/>
      <c r="BP162" s="128"/>
      <c r="BQ162" s="125"/>
      <c r="BR162" s="125"/>
    </row>
    <row r="163" spans="2:70" x14ac:dyDescent="0.25">
      <c r="B163" s="216"/>
      <c r="C163" s="125"/>
      <c r="D163" s="125"/>
      <c r="E163" s="125"/>
      <c r="F163" s="125"/>
      <c r="G163" s="125"/>
      <c r="H163" s="125"/>
      <c r="I163" s="125"/>
      <c r="J163" s="125"/>
      <c r="K163" s="125"/>
      <c r="L163" s="125"/>
      <c r="M163" s="125"/>
      <c r="N163" s="125"/>
      <c r="O163" s="125"/>
      <c r="P163" s="125"/>
      <c r="Q163" s="125"/>
      <c r="R163" s="125"/>
      <c r="S163" s="125"/>
      <c r="T163" s="125"/>
      <c r="U163" s="125"/>
      <c r="V163" s="125"/>
      <c r="W163" s="125"/>
      <c r="X163" s="125"/>
      <c r="Y163" s="125"/>
      <c r="Z163" s="125"/>
      <c r="AA163" s="125"/>
      <c r="AB163" s="125"/>
      <c r="AC163" s="125"/>
      <c r="AD163" s="125"/>
      <c r="AE163" s="125"/>
      <c r="AF163" s="125"/>
      <c r="AG163" s="125"/>
      <c r="AH163" s="125"/>
      <c r="AI163" s="125"/>
      <c r="AJ163" s="125"/>
      <c r="AK163" s="125"/>
      <c r="AL163" s="125"/>
      <c r="AM163" s="125"/>
      <c r="AN163" s="125"/>
      <c r="AO163" s="125"/>
      <c r="AP163" s="125"/>
      <c r="AQ163" s="125"/>
      <c r="AR163" s="125"/>
      <c r="AS163" s="125"/>
      <c r="AT163" s="125"/>
      <c r="AU163" s="125"/>
      <c r="AV163" s="125"/>
      <c r="AW163" s="125"/>
      <c r="AX163" s="125"/>
      <c r="AY163" s="125"/>
      <c r="AZ163" s="125"/>
      <c r="BA163" s="125"/>
      <c r="BB163" s="125"/>
      <c r="BC163" s="125"/>
      <c r="BD163" s="125"/>
      <c r="BE163" s="125"/>
      <c r="BF163" s="125"/>
      <c r="BG163" s="125"/>
      <c r="BH163" s="125"/>
      <c r="BI163" s="125"/>
      <c r="BJ163" s="125"/>
      <c r="BK163" s="125"/>
      <c r="BL163" s="125"/>
      <c r="BM163" s="125"/>
      <c r="BN163" s="125"/>
      <c r="BO163" s="125"/>
      <c r="BP163" s="128"/>
      <c r="BQ163" s="125"/>
      <c r="BR163" s="125"/>
    </row>
    <row r="164" spans="2:70" x14ac:dyDescent="0.25">
      <c r="B164" s="216"/>
      <c r="C164" s="125"/>
      <c r="D164" s="125"/>
      <c r="E164" s="125"/>
      <c r="F164" s="125"/>
      <c r="G164" s="125"/>
      <c r="H164" s="125"/>
      <c r="I164" s="125"/>
      <c r="J164" s="125"/>
      <c r="K164" s="125"/>
      <c r="L164" s="125"/>
      <c r="M164" s="125"/>
      <c r="N164" s="125"/>
      <c r="O164" s="125"/>
      <c r="P164" s="125"/>
      <c r="Q164" s="125"/>
      <c r="R164" s="125"/>
      <c r="S164" s="125"/>
      <c r="T164" s="125"/>
      <c r="U164" s="125"/>
      <c r="V164" s="125"/>
      <c r="W164" s="125"/>
      <c r="X164" s="125"/>
      <c r="Y164" s="125"/>
      <c r="Z164" s="125"/>
      <c r="AA164" s="125"/>
      <c r="AB164" s="125"/>
      <c r="AC164" s="125"/>
      <c r="AD164" s="125"/>
      <c r="AE164" s="125"/>
      <c r="AF164" s="125"/>
      <c r="AG164" s="125"/>
      <c r="AH164" s="125"/>
      <c r="AI164" s="125"/>
      <c r="AJ164" s="125"/>
      <c r="AK164" s="125"/>
      <c r="AL164" s="125"/>
      <c r="AM164" s="125"/>
      <c r="AN164" s="125"/>
      <c r="AO164" s="125"/>
      <c r="AP164" s="125"/>
      <c r="AQ164" s="125"/>
      <c r="AR164" s="125"/>
      <c r="AS164" s="125"/>
      <c r="AT164" s="125"/>
      <c r="AU164" s="125"/>
      <c r="AV164" s="125"/>
      <c r="AW164" s="125"/>
      <c r="AX164" s="125"/>
      <c r="AY164" s="125"/>
      <c r="AZ164" s="125"/>
      <c r="BA164" s="125"/>
      <c r="BB164" s="125"/>
      <c r="BC164" s="125"/>
      <c r="BD164" s="125"/>
      <c r="BE164" s="125"/>
      <c r="BF164" s="125"/>
      <c r="BG164" s="125"/>
      <c r="BH164" s="125"/>
      <c r="BI164" s="125"/>
      <c r="BJ164" s="125"/>
      <c r="BK164" s="125"/>
      <c r="BL164" s="125"/>
      <c r="BM164" s="125"/>
      <c r="BN164" s="125"/>
      <c r="BO164" s="125"/>
      <c r="BP164" s="128"/>
      <c r="BQ164" s="125"/>
      <c r="BR164" s="125"/>
    </row>
    <row r="165" spans="2:70" x14ac:dyDescent="0.25">
      <c r="B165" s="216"/>
      <c r="C165" s="125"/>
      <c r="D165" s="125"/>
      <c r="E165" s="125"/>
      <c r="F165" s="125"/>
      <c r="G165" s="125"/>
      <c r="H165" s="125"/>
      <c r="I165" s="125"/>
      <c r="J165" s="125"/>
      <c r="K165" s="125"/>
      <c r="L165" s="125"/>
      <c r="M165" s="125"/>
      <c r="N165" s="125"/>
      <c r="O165" s="125"/>
      <c r="P165" s="125"/>
      <c r="Q165" s="125"/>
      <c r="R165" s="125"/>
      <c r="S165" s="125"/>
      <c r="T165" s="125"/>
      <c r="U165" s="125"/>
      <c r="V165" s="125"/>
      <c r="W165" s="125"/>
      <c r="X165" s="125"/>
      <c r="Y165" s="125"/>
      <c r="Z165" s="125"/>
      <c r="AA165" s="125"/>
      <c r="AB165" s="125"/>
      <c r="AC165" s="125"/>
      <c r="AD165" s="125"/>
      <c r="AE165" s="125"/>
      <c r="AF165" s="125"/>
      <c r="AG165" s="125"/>
      <c r="AH165" s="125"/>
      <c r="AI165" s="125"/>
      <c r="AJ165" s="125"/>
      <c r="AK165" s="125"/>
      <c r="AL165" s="125"/>
      <c r="AM165" s="125"/>
      <c r="AN165" s="125"/>
      <c r="AO165" s="125"/>
      <c r="AP165" s="125"/>
      <c r="AQ165" s="125"/>
      <c r="AR165" s="125"/>
      <c r="AS165" s="125"/>
      <c r="AT165" s="125"/>
      <c r="AU165" s="125"/>
      <c r="AV165" s="125"/>
      <c r="AW165" s="125"/>
      <c r="AX165" s="125"/>
      <c r="AY165" s="125"/>
      <c r="AZ165" s="125"/>
      <c r="BA165" s="125"/>
      <c r="BB165" s="125"/>
      <c r="BC165" s="125"/>
      <c r="BD165" s="125"/>
      <c r="BE165" s="125"/>
      <c r="BF165" s="125"/>
      <c r="BG165" s="125"/>
      <c r="BH165" s="125"/>
      <c r="BI165" s="125"/>
      <c r="BJ165" s="125"/>
      <c r="BK165" s="125"/>
      <c r="BL165" s="125"/>
      <c r="BM165" s="125"/>
      <c r="BN165" s="125"/>
      <c r="BO165" s="125"/>
      <c r="BP165" s="128"/>
      <c r="BQ165" s="125"/>
      <c r="BR165" s="125"/>
    </row>
    <row r="166" spans="2:70" x14ac:dyDescent="0.25">
      <c r="B166" s="216"/>
      <c r="C166" s="125"/>
      <c r="D166" s="125"/>
      <c r="E166" s="125"/>
      <c r="F166" s="125"/>
      <c r="G166" s="125"/>
      <c r="H166" s="125"/>
      <c r="I166" s="125"/>
      <c r="J166" s="125"/>
      <c r="K166" s="125"/>
      <c r="L166" s="125"/>
      <c r="M166" s="125"/>
      <c r="N166" s="125"/>
      <c r="O166" s="125"/>
      <c r="P166" s="125"/>
      <c r="Q166" s="125"/>
      <c r="R166" s="125"/>
      <c r="S166" s="125"/>
      <c r="T166" s="125"/>
      <c r="U166" s="125"/>
      <c r="V166" s="125"/>
      <c r="W166" s="125"/>
      <c r="X166" s="125"/>
      <c r="Y166" s="125"/>
      <c r="Z166" s="125"/>
      <c r="AA166" s="125"/>
      <c r="AB166" s="125"/>
      <c r="AC166" s="125"/>
      <c r="AD166" s="125"/>
      <c r="AE166" s="125"/>
      <c r="AF166" s="125"/>
      <c r="AG166" s="125"/>
      <c r="AH166" s="125"/>
      <c r="AI166" s="125"/>
      <c r="AJ166" s="125"/>
      <c r="AK166" s="125"/>
      <c r="AL166" s="125"/>
      <c r="AM166" s="125"/>
      <c r="AN166" s="125"/>
      <c r="AO166" s="125"/>
      <c r="AP166" s="125"/>
      <c r="AQ166" s="125"/>
      <c r="AR166" s="125"/>
      <c r="AS166" s="125"/>
      <c r="AT166" s="125"/>
      <c r="AU166" s="125"/>
      <c r="AV166" s="125"/>
      <c r="AW166" s="125"/>
      <c r="AX166" s="125"/>
      <c r="AY166" s="125"/>
      <c r="AZ166" s="125"/>
      <c r="BA166" s="125"/>
      <c r="BB166" s="125"/>
      <c r="BC166" s="125"/>
      <c r="BD166" s="125"/>
      <c r="BE166" s="125"/>
      <c r="BF166" s="125"/>
      <c r="BG166" s="125"/>
      <c r="BH166" s="125"/>
      <c r="BI166" s="125"/>
      <c r="BJ166" s="125"/>
      <c r="BK166" s="125"/>
      <c r="BL166" s="125"/>
      <c r="BM166" s="125"/>
      <c r="BN166" s="125"/>
      <c r="BO166" s="125"/>
      <c r="BP166" s="128"/>
      <c r="BQ166" s="125"/>
      <c r="BR166" s="125"/>
    </row>
    <row r="167" spans="2:70" x14ac:dyDescent="0.25">
      <c r="B167" s="216"/>
      <c r="C167" s="125"/>
      <c r="D167" s="125"/>
      <c r="E167" s="125"/>
      <c r="F167" s="125"/>
      <c r="G167" s="125"/>
      <c r="H167" s="125"/>
      <c r="I167" s="125"/>
      <c r="J167" s="125"/>
      <c r="K167" s="125"/>
      <c r="L167" s="125"/>
      <c r="M167" s="125"/>
      <c r="N167" s="125"/>
      <c r="O167" s="125"/>
      <c r="P167" s="125"/>
      <c r="Q167" s="125"/>
      <c r="R167" s="125"/>
      <c r="S167" s="125"/>
      <c r="T167" s="125"/>
      <c r="U167" s="125"/>
      <c r="V167" s="125"/>
      <c r="W167" s="125"/>
      <c r="X167" s="125"/>
      <c r="Y167" s="125"/>
      <c r="Z167" s="125"/>
      <c r="AA167" s="125"/>
      <c r="AB167" s="125"/>
      <c r="AC167" s="125"/>
      <c r="AD167" s="125"/>
      <c r="AE167" s="125"/>
      <c r="AF167" s="125"/>
      <c r="AG167" s="125"/>
      <c r="AH167" s="125"/>
      <c r="AI167" s="125"/>
      <c r="AJ167" s="125"/>
      <c r="AK167" s="125"/>
      <c r="AL167" s="125"/>
      <c r="AM167" s="125"/>
      <c r="AN167" s="125"/>
      <c r="AO167" s="125"/>
      <c r="AP167" s="125"/>
      <c r="AQ167" s="125"/>
      <c r="AR167" s="125"/>
      <c r="AS167" s="125"/>
      <c r="AT167" s="125"/>
      <c r="AU167" s="125"/>
      <c r="AV167" s="125"/>
      <c r="AW167" s="125"/>
      <c r="AX167" s="125"/>
      <c r="AY167" s="125"/>
      <c r="AZ167" s="125"/>
      <c r="BA167" s="125"/>
      <c r="BB167" s="125"/>
      <c r="BC167" s="125"/>
      <c r="BD167" s="125"/>
      <c r="BE167" s="125"/>
      <c r="BF167" s="125"/>
      <c r="BG167" s="125"/>
      <c r="BH167" s="125"/>
      <c r="BI167" s="125"/>
      <c r="BJ167" s="125"/>
      <c r="BK167" s="125"/>
      <c r="BL167" s="125"/>
      <c r="BM167" s="125"/>
      <c r="BN167" s="125"/>
      <c r="BO167" s="125"/>
      <c r="BP167" s="128"/>
      <c r="BQ167" s="125"/>
      <c r="BR167" s="125"/>
    </row>
    <row r="168" spans="2:70" x14ac:dyDescent="0.25">
      <c r="B168" s="216"/>
      <c r="C168" s="125"/>
      <c r="D168" s="125"/>
      <c r="E168" s="125"/>
      <c r="F168" s="125"/>
      <c r="G168" s="125"/>
      <c r="H168" s="125"/>
      <c r="I168" s="125"/>
      <c r="J168" s="125"/>
      <c r="K168" s="125"/>
      <c r="L168" s="125"/>
      <c r="M168" s="125"/>
      <c r="N168" s="125"/>
      <c r="O168" s="125"/>
      <c r="P168" s="125"/>
      <c r="Q168" s="125"/>
      <c r="R168" s="125"/>
      <c r="S168" s="125"/>
      <c r="T168" s="125"/>
      <c r="U168" s="125"/>
      <c r="V168" s="125"/>
      <c r="W168" s="125"/>
      <c r="X168" s="125"/>
      <c r="Y168" s="125"/>
      <c r="Z168" s="125"/>
      <c r="AA168" s="125"/>
      <c r="AB168" s="125"/>
      <c r="AC168" s="125"/>
      <c r="AD168" s="125"/>
      <c r="AE168" s="125"/>
      <c r="AF168" s="125"/>
      <c r="AG168" s="125"/>
      <c r="AH168" s="125"/>
      <c r="AI168" s="125"/>
      <c r="AJ168" s="125"/>
      <c r="AK168" s="125"/>
      <c r="AL168" s="125"/>
      <c r="AM168" s="125"/>
      <c r="AN168" s="125"/>
      <c r="AO168" s="125"/>
      <c r="AP168" s="125"/>
      <c r="AQ168" s="125"/>
      <c r="AR168" s="125"/>
      <c r="AS168" s="125"/>
      <c r="AT168" s="125"/>
      <c r="AU168" s="125"/>
      <c r="AV168" s="125"/>
      <c r="AW168" s="125"/>
      <c r="AX168" s="125"/>
      <c r="AY168" s="125"/>
      <c r="AZ168" s="125"/>
      <c r="BA168" s="125"/>
      <c r="BB168" s="125"/>
      <c r="BC168" s="125"/>
      <c r="BD168" s="125"/>
      <c r="BE168" s="125"/>
      <c r="BF168" s="125"/>
      <c r="BG168" s="125"/>
      <c r="BH168" s="125"/>
      <c r="BI168" s="125"/>
      <c r="BJ168" s="125"/>
      <c r="BK168" s="125"/>
      <c r="BL168" s="125"/>
      <c r="BM168" s="125"/>
      <c r="BN168" s="125"/>
      <c r="BO168" s="125"/>
      <c r="BP168" s="128"/>
      <c r="BQ168" s="125"/>
      <c r="BR168" s="125"/>
    </row>
    <row r="169" spans="2:70" x14ac:dyDescent="0.25">
      <c r="B169" s="216"/>
      <c r="C169" s="125"/>
      <c r="D169" s="125"/>
      <c r="E169" s="125"/>
      <c r="F169" s="125"/>
      <c r="G169" s="125"/>
      <c r="H169" s="125"/>
      <c r="I169" s="125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  <c r="T169" s="125"/>
      <c r="U169" s="125"/>
      <c r="V169" s="125"/>
      <c r="W169" s="125"/>
      <c r="X169" s="125"/>
      <c r="Y169" s="125"/>
      <c r="Z169" s="125"/>
      <c r="AA169" s="125"/>
      <c r="AB169" s="125"/>
      <c r="AC169" s="125"/>
      <c r="AD169" s="125"/>
      <c r="AE169" s="125"/>
      <c r="AF169" s="125"/>
      <c r="AG169" s="125"/>
      <c r="AH169" s="125"/>
      <c r="AI169" s="125"/>
      <c r="AJ169" s="125"/>
      <c r="AK169" s="125"/>
      <c r="AL169" s="125"/>
      <c r="AM169" s="125"/>
      <c r="AN169" s="125"/>
      <c r="AO169" s="125"/>
      <c r="AP169" s="125"/>
      <c r="AQ169" s="125"/>
      <c r="AR169" s="125"/>
      <c r="AS169" s="125"/>
      <c r="AT169" s="125"/>
      <c r="AU169" s="125"/>
      <c r="AV169" s="125"/>
      <c r="AW169" s="125"/>
      <c r="AX169" s="125"/>
      <c r="AY169" s="125"/>
      <c r="AZ169" s="125"/>
      <c r="BA169" s="125"/>
      <c r="BB169" s="125"/>
      <c r="BC169" s="125"/>
      <c r="BD169" s="125"/>
      <c r="BE169" s="125"/>
      <c r="BF169" s="125"/>
      <c r="BG169" s="125"/>
      <c r="BH169" s="125"/>
      <c r="BI169" s="125"/>
      <c r="BJ169" s="125"/>
      <c r="BK169" s="125"/>
      <c r="BL169" s="125"/>
      <c r="BM169" s="125"/>
      <c r="BN169" s="125"/>
      <c r="BO169" s="125"/>
      <c r="BP169" s="128"/>
      <c r="BQ169" s="125"/>
      <c r="BR169" s="125"/>
    </row>
    <row r="170" spans="2:70" x14ac:dyDescent="0.25">
      <c r="B170" s="216"/>
      <c r="C170" s="125"/>
      <c r="D170" s="125"/>
      <c r="E170" s="125"/>
      <c r="F170" s="125"/>
      <c r="G170" s="125"/>
      <c r="H170" s="125"/>
      <c r="I170" s="125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  <c r="T170" s="125"/>
      <c r="U170" s="125"/>
      <c r="V170" s="125"/>
      <c r="W170" s="125"/>
      <c r="X170" s="125"/>
      <c r="Y170" s="125"/>
      <c r="Z170" s="125"/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5"/>
      <c r="AN170" s="125"/>
      <c r="AO170" s="125"/>
      <c r="AP170" s="125"/>
      <c r="AQ170" s="125"/>
      <c r="AR170" s="125"/>
      <c r="AS170" s="125"/>
      <c r="AT170" s="125"/>
      <c r="AU170" s="125"/>
      <c r="AV170" s="125"/>
      <c r="AW170" s="125"/>
      <c r="AX170" s="125"/>
      <c r="AY170" s="125"/>
      <c r="AZ170" s="125"/>
      <c r="BA170" s="125"/>
      <c r="BB170" s="125"/>
      <c r="BC170" s="125"/>
      <c r="BD170" s="125"/>
      <c r="BE170" s="125"/>
      <c r="BF170" s="125"/>
      <c r="BG170" s="125"/>
      <c r="BH170" s="125"/>
      <c r="BI170" s="125"/>
      <c r="BJ170" s="125"/>
      <c r="BK170" s="125"/>
      <c r="BL170" s="125"/>
      <c r="BM170" s="125"/>
      <c r="BN170" s="125"/>
      <c r="BO170" s="125"/>
      <c r="BP170" s="128"/>
      <c r="BQ170" s="125"/>
      <c r="BR170" s="125"/>
    </row>
    <row r="171" spans="2:70" x14ac:dyDescent="0.25">
      <c r="B171" s="216"/>
      <c r="C171" s="125"/>
      <c r="D171" s="125"/>
      <c r="E171" s="125"/>
      <c r="F171" s="125"/>
      <c r="G171" s="125"/>
      <c r="H171" s="125"/>
      <c r="I171" s="125"/>
      <c r="J171" s="125"/>
      <c r="K171" s="125"/>
      <c r="L171" s="125"/>
      <c r="M171" s="125"/>
      <c r="N171" s="125"/>
      <c r="O171" s="125"/>
      <c r="P171" s="125"/>
      <c r="Q171" s="125"/>
      <c r="R171" s="125"/>
      <c r="S171" s="125"/>
      <c r="T171" s="125"/>
      <c r="U171" s="125"/>
      <c r="V171" s="125"/>
      <c r="W171" s="125"/>
      <c r="X171" s="125"/>
      <c r="Y171" s="125"/>
      <c r="Z171" s="125"/>
      <c r="AA171" s="125"/>
      <c r="AB171" s="125"/>
      <c r="AC171" s="125"/>
      <c r="AD171" s="125"/>
      <c r="AE171" s="125"/>
      <c r="AF171" s="125"/>
      <c r="AG171" s="125"/>
      <c r="AH171" s="125"/>
      <c r="AI171" s="125"/>
      <c r="AJ171" s="125"/>
      <c r="AK171" s="125"/>
      <c r="AL171" s="125"/>
      <c r="AM171" s="125"/>
      <c r="AN171" s="125"/>
      <c r="AO171" s="125"/>
      <c r="AP171" s="125"/>
      <c r="AQ171" s="125"/>
      <c r="AR171" s="125"/>
      <c r="AS171" s="125"/>
      <c r="AT171" s="125"/>
      <c r="AU171" s="125"/>
      <c r="AV171" s="125"/>
      <c r="AW171" s="125"/>
      <c r="AX171" s="125"/>
      <c r="AY171" s="125"/>
      <c r="AZ171" s="125"/>
      <c r="BA171" s="125"/>
      <c r="BB171" s="125"/>
      <c r="BC171" s="125"/>
      <c r="BD171" s="125"/>
      <c r="BE171" s="125"/>
      <c r="BF171" s="125"/>
      <c r="BG171" s="125"/>
      <c r="BH171" s="125"/>
      <c r="BI171" s="125"/>
      <c r="BJ171" s="125"/>
      <c r="BK171" s="125"/>
      <c r="BL171" s="125"/>
      <c r="BM171" s="125"/>
      <c r="BN171" s="125"/>
      <c r="BO171" s="125"/>
      <c r="BP171" s="128"/>
      <c r="BQ171" s="125"/>
      <c r="BR171" s="125"/>
    </row>
    <row r="172" spans="2:70" x14ac:dyDescent="0.25">
      <c r="B172" s="216"/>
      <c r="C172" s="125"/>
      <c r="D172" s="125"/>
      <c r="E172" s="125"/>
      <c r="F172" s="125"/>
      <c r="G172" s="125"/>
      <c r="H172" s="125"/>
      <c r="I172" s="125"/>
      <c r="J172" s="125"/>
      <c r="K172" s="125"/>
      <c r="L172" s="125"/>
      <c r="M172" s="125"/>
      <c r="N172" s="125"/>
      <c r="O172" s="125"/>
      <c r="P172" s="125"/>
      <c r="Q172" s="125"/>
      <c r="R172" s="125"/>
      <c r="S172" s="125"/>
      <c r="T172" s="125"/>
      <c r="U172" s="125"/>
      <c r="V172" s="125"/>
      <c r="W172" s="125"/>
      <c r="X172" s="125"/>
      <c r="Y172" s="125"/>
      <c r="Z172" s="125"/>
      <c r="AA172" s="125"/>
      <c r="AB172" s="125"/>
      <c r="AC172" s="125"/>
      <c r="AD172" s="125"/>
      <c r="AE172" s="125"/>
      <c r="AF172" s="125"/>
      <c r="AG172" s="125"/>
      <c r="AH172" s="125"/>
      <c r="AI172" s="125"/>
      <c r="AJ172" s="125"/>
      <c r="AK172" s="125"/>
      <c r="AL172" s="125"/>
      <c r="AM172" s="125"/>
      <c r="AN172" s="125"/>
      <c r="AO172" s="125"/>
      <c r="AP172" s="125"/>
      <c r="AQ172" s="125"/>
      <c r="AR172" s="125"/>
      <c r="AS172" s="125"/>
      <c r="AT172" s="125"/>
      <c r="AU172" s="125"/>
      <c r="AV172" s="125"/>
      <c r="AW172" s="125"/>
      <c r="AX172" s="125"/>
      <c r="AY172" s="125"/>
      <c r="AZ172" s="125"/>
      <c r="BA172" s="125"/>
      <c r="BB172" s="125"/>
      <c r="BC172" s="125"/>
      <c r="BD172" s="125"/>
      <c r="BE172" s="125"/>
      <c r="BF172" s="125"/>
      <c r="BG172" s="125"/>
      <c r="BH172" s="125"/>
      <c r="BI172" s="125"/>
      <c r="BJ172" s="125"/>
      <c r="BK172" s="125"/>
      <c r="BL172" s="125"/>
      <c r="BM172" s="125"/>
      <c r="BN172" s="125"/>
      <c r="BO172" s="125"/>
      <c r="BP172" s="128"/>
      <c r="BQ172" s="125"/>
      <c r="BR172" s="125"/>
    </row>
    <row r="173" spans="2:70" x14ac:dyDescent="0.25">
      <c r="B173" s="216"/>
      <c r="C173" s="125"/>
      <c r="D173" s="125"/>
      <c r="E173" s="125"/>
      <c r="F173" s="125"/>
      <c r="G173" s="125"/>
      <c r="H173" s="125"/>
      <c r="I173" s="125"/>
      <c r="J173" s="125"/>
      <c r="K173" s="125"/>
      <c r="L173" s="125"/>
      <c r="M173" s="125"/>
      <c r="N173" s="125"/>
      <c r="O173" s="125"/>
      <c r="P173" s="125"/>
      <c r="Q173" s="125"/>
      <c r="R173" s="125"/>
      <c r="S173" s="125"/>
      <c r="T173" s="125"/>
      <c r="U173" s="125"/>
      <c r="V173" s="125"/>
      <c r="W173" s="125"/>
      <c r="X173" s="125"/>
      <c r="Y173" s="125"/>
      <c r="Z173" s="125"/>
      <c r="AA173" s="125"/>
      <c r="AB173" s="125"/>
      <c r="AC173" s="125"/>
      <c r="AD173" s="125"/>
      <c r="AE173" s="125"/>
      <c r="AF173" s="125"/>
      <c r="AG173" s="125"/>
      <c r="AH173" s="125"/>
      <c r="AI173" s="125"/>
      <c r="AJ173" s="125"/>
      <c r="AK173" s="125"/>
      <c r="AL173" s="125"/>
      <c r="AM173" s="125"/>
      <c r="AN173" s="125"/>
      <c r="AO173" s="125"/>
      <c r="AP173" s="125"/>
      <c r="AQ173" s="125"/>
      <c r="AR173" s="125"/>
      <c r="AS173" s="125"/>
      <c r="AT173" s="125"/>
      <c r="AU173" s="125"/>
      <c r="AV173" s="125"/>
      <c r="AW173" s="125"/>
      <c r="AX173" s="125"/>
      <c r="AY173" s="125"/>
      <c r="AZ173" s="125"/>
      <c r="BA173" s="125"/>
      <c r="BB173" s="125"/>
      <c r="BC173" s="125"/>
      <c r="BD173" s="125"/>
      <c r="BE173" s="125"/>
      <c r="BF173" s="125"/>
      <c r="BG173" s="125"/>
      <c r="BH173" s="125"/>
      <c r="BI173" s="125"/>
      <c r="BJ173" s="125"/>
      <c r="BK173" s="125"/>
      <c r="BL173" s="125"/>
      <c r="BM173" s="125"/>
      <c r="BN173" s="125"/>
      <c r="BO173" s="125"/>
      <c r="BP173" s="128"/>
      <c r="BQ173" s="125"/>
      <c r="BR173" s="125"/>
    </row>
    <row r="174" spans="2:70" x14ac:dyDescent="0.25">
      <c r="B174" s="216"/>
      <c r="C174" s="125"/>
      <c r="D174" s="125"/>
      <c r="E174" s="125"/>
      <c r="F174" s="125"/>
      <c r="G174" s="125"/>
      <c r="H174" s="125"/>
      <c r="I174" s="125"/>
      <c r="J174" s="125"/>
      <c r="K174" s="125"/>
      <c r="L174" s="125"/>
      <c r="M174" s="125"/>
      <c r="N174" s="125"/>
      <c r="O174" s="125"/>
      <c r="P174" s="125"/>
      <c r="Q174" s="125"/>
      <c r="R174" s="125"/>
      <c r="S174" s="125"/>
      <c r="T174" s="125"/>
      <c r="U174" s="125"/>
      <c r="V174" s="125"/>
      <c r="W174" s="125"/>
      <c r="X174" s="125"/>
      <c r="Y174" s="125"/>
      <c r="Z174" s="125"/>
      <c r="AA174" s="125"/>
      <c r="AB174" s="125"/>
      <c r="AC174" s="125"/>
      <c r="AD174" s="125"/>
      <c r="AE174" s="125"/>
      <c r="AF174" s="125"/>
      <c r="AG174" s="125"/>
      <c r="AH174" s="125"/>
      <c r="AI174" s="125"/>
      <c r="AJ174" s="125"/>
      <c r="AK174" s="125"/>
      <c r="AL174" s="125"/>
      <c r="AM174" s="125"/>
      <c r="AN174" s="125"/>
      <c r="AO174" s="125"/>
      <c r="AP174" s="125"/>
      <c r="AQ174" s="125"/>
      <c r="AR174" s="125"/>
      <c r="AS174" s="125"/>
      <c r="AT174" s="125"/>
      <c r="AU174" s="125"/>
      <c r="AV174" s="125"/>
      <c r="AW174" s="125"/>
      <c r="AX174" s="125"/>
      <c r="AY174" s="125"/>
      <c r="AZ174" s="125"/>
      <c r="BA174" s="125"/>
      <c r="BB174" s="125"/>
      <c r="BC174" s="125"/>
      <c r="BD174" s="125"/>
      <c r="BE174" s="125"/>
      <c r="BF174" s="125"/>
      <c r="BG174" s="125"/>
      <c r="BH174" s="125"/>
      <c r="BI174" s="125"/>
      <c r="BJ174" s="125"/>
      <c r="BK174" s="125"/>
      <c r="BL174" s="125"/>
      <c r="BM174" s="125"/>
      <c r="BN174" s="125"/>
      <c r="BO174" s="125"/>
      <c r="BP174" s="128"/>
      <c r="BQ174" s="125"/>
      <c r="BR174" s="125"/>
    </row>
    <row r="175" spans="2:70" x14ac:dyDescent="0.25">
      <c r="B175" s="216"/>
      <c r="C175" s="125"/>
      <c r="D175" s="125"/>
      <c r="E175" s="125"/>
      <c r="F175" s="125"/>
      <c r="G175" s="125"/>
      <c r="H175" s="125"/>
      <c r="I175" s="125"/>
      <c r="J175" s="125"/>
      <c r="K175" s="125"/>
      <c r="L175" s="125"/>
      <c r="M175" s="125"/>
      <c r="N175" s="125"/>
      <c r="O175" s="125"/>
      <c r="P175" s="125"/>
      <c r="Q175" s="125"/>
      <c r="R175" s="125"/>
      <c r="S175" s="125"/>
      <c r="T175" s="125"/>
      <c r="U175" s="125"/>
      <c r="V175" s="125"/>
      <c r="W175" s="125"/>
      <c r="X175" s="125"/>
      <c r="Y175" s="125"/>
      <c r="Z175" s="125"/>
      <c r="AA175" s="125"/>
      <c r="AB175" s="125"/>
      <c r="AC175" s="125"/>
      <c r="AD175" s="125"/>
      <c r="AE175" s="125"/>
      <c r="AF175" s="125"/>
      <c r="AG175" s="125"/>
      <c r="AH175" s="125"/>
      <c r="AI175" s="125"/>
      <c r="AJ175" s="125"/>
      <c r="AK175" s="125"/>
      <c r="AL175" s="125"/>
      <c r="AM175" s="125"/>
      <c r="AN175" s="125"/>
      <c r="AO175" s="125"/>
      <c r="AP175" s="125"/>
      <c r="AQ175" s="125"/>
      <c r="AR175" s="125"/>
      <c r="AS175" s="125"/>
      <c r="AT175" s="125"/>
      <c r="AU175" s="125"/>
      <c r="AV175" s="125"/>
      <c r="AW175" s="125"/>
      <c r="AX175" s="125"/>
      <c r="AY175" s="125"/>
      <c r="AZ175" s="125"/>
      <c r="BA175" s="125"/>
      <c r="BB175" s="125"/>
      <c r="BC175" s="125"/>
      <c r="BD175" s="125"/>
      <c r="BE175" s="125"/>
      <c r="BF175" s="125"/>
      <c r="BG175" s="125"/>
      <c r="BH175" s="125"/>
      <c r="BI175" s="125"/>
      <c r="BJ175" s="125"/>
      <c r="BK175" s="125"/>
      <c r="BL175" s="125"/>
      <c r="BM175" s="125"/>
      <c r="BN175" s="125"/>
      <c r="BO175" s="125"/>
      <c r="BP175" s="128"/>
      <c r="BQ175" s="125"/>
      <c r="BR175" s="125"/>
    </row>
    <row r="176" spans="2:70" x14ac:dyDescent="0.25">
      <c r="B176" s="216"/>
      <c r="C176" s="125"/>
      <c r="D176" s="125"/>
      <c r="E176" s="125"/>
      <c r="F176" s="125"/>
      <c r="G176" s="125"/>
      <c r="H176" s="125"/>
      <c r="I176" s="125"/>
      <c r="J176" s="125"/>
      <c r="K176" s="125"/>
      <c r="L176" s="125"/>
      <c r="M176" s="125"/>
      <c r="N176" s="125"/>
      <c r="O176" s="125"/>
      <c r="P176" s="125"/>
      <c r="Q176" s="125"/>
      <c r="R176" s="125"/>
      <c r="S176" s="125"/>
      <c r="T176" s="125"/>
      <c r="U176" s="125"/>
      <c r="V176" s="125"/>
      <c r="W176" s="125"/>
      <c r="X176" s="125"/>
      <c r="Y176" s="125"/>
      <c r="Z176" s="125"/>
      <c r="AA176" s="125"/>
      <c r="AB176" s="125"/>
      <c r="AC176" s="125"/>
      <c r="AD176" s="125"/>
      <c r="AE176" s="125"/>
      <c r="AF176" s="125"/>
      <c r="AG176" s="125"/>
      <c r="AH176" s="125"/>
      <c r="AI176" s="125"/>
      <c r="AJ176" s="125"/>
      <c r="AK176" s="125"/>
      <c r="AL176" s="125"/>
      <c r="AM176" s="125"/>
      <c r="AN176" s="125"/>
      <c r="AO176" s="125"/>
      <c r="AP176" s="125"/>
      <c r="AQ176" s="125"/>
      <c r="AR176" s="125"/>
      <c r="AS176" s="125"/>
      <c r="AT176" s="125"/>
      <c r="AU176" s="125"/>
      <c r="AV176" s="125"/>
      <c r="AW176" s="125"/>
      <c r="AX176" s="125"/>
      <c r="AY176" s="125"/>
      <c r="AZ176" s="125"/>
      <c r="BA176" s="125"/>
      <c r="BB176" s="125"/>
      <c r="BC176" s="125"/>
      <c r="BD176" s="125"/>
      <c r="BE176" s="125"/>
      <c r="BF176" s="125"/>
      <c r="BG176" s="125"/>
      <c r="BH176" s="125"/>
      <c r="BI176" s="125"/>
      <c r="BJ176" s="125"/>
      <c r="BK176" s="125"/>
      <c r="BL176" s="125"/>
      <c r="BM176" s="125"/>
      <c r="BN176" s="125"/>
      <c r="BO176" s="125"/>
      <c r="BP176" s="128"/>
      <c r="BQ176" s="125"/>
      <c r="BR176" s="125"/>
    </row>
    <row r="177" spans="2:70" x14ac:dyDescent="0.25">
      <c r="B177" s="216"/>
      <c r="C177" s="125"/>
      <c r="D177" s="125"/>
      <c r="E177" s="125"/>
      <c r="F177" s="125"/>
      <c r="G177" s="125"/>
      <c r="H177" s="125"/>
      <c r="I177" s="125"/>
      <c r="J177" s="125"/>
      <c r="K177" s="125"/>
      <c r="L177" s="125"/>
      <c r="M177" s="125"/>
      <c r="N177" s="125"/>
      <c r="O177" s="125"/>
      <c r="P177" s="125"/>
      <c r="Q177" s="125"/>
      <c r="R177" s="125"/>
      <c r="S177" s="125"/>
      <c r="T177" s="125"/>
      <c r="U177" s="125"/>
      <c r="V177" s="125"/>
      <c r="W177" s="125"/>
      <c r="X177" s="125"/>
      <c r="Y177" s="125"/>
      <c r="Z177" s="125"/>
      <c r="AA177" s="125"/>
      <c r="AB177" s="125"/>
      <c r="AC177" s="125"/>
      <c r="AD177" s="125"/>
      <c r="AE177" s="125"/>
      <c r="AF177" s="125"/>
      <c r="AG177" s="125"/>
      <c r="AH177" s="125"/>
      <c r="AI177" s="125"/>
      <c r="AJ177" s="125"/>
      <c r="AK177" s="125"/>
      <c r="AL177" s="125"/>
      <c r="AM177" s="125"/>
      <c r="AN177" s="125"/>
      <c r="AO177" s="125"/>
      <c r="AP177" s="125"/>
      <c r="AQ177" s="125"/>
      <c r="AR177" s="125"/>
      <c r="AS177" s="125"/>
      <c r="AT177" s="125"/>
      <c r="AU177" s="125"/>
      <c r="AV177" s="125"/>
      <c r="AW177" s="125"/>
      <c r="AX177" s="125"/>
      <c r="AY177" s="125"/>
      <c r="AZ177" s="125"/>
      <c r="BA177" s="125"/>
      <c r="BB177" s="125"/>
      <c r="BC177" s="125"/>
      <c r="BD177" s="125"/>
      <c r="BE177" s="125"/>
      <c r="BF177" s="125"/>
      <c r="BG177" s="125"/>
      <c r="BH177" s="125"/>
      <c r="BI177" s="125"/>
      <c r="BJ177" s="125"/>
      <c r="BK177" s="125"/>
      <c r="BL177" s="125"/>
      <c r="BM177" s="125"/>
      <c r="BN177" s="125"/>
      <c r="BO177" s="125"/>
      <c r="BP177" s="128"/>
      <c r="BQ177" s="125"/>
      <c r="BR177" s="125"/>
    </row>
    <row r="178" spans="2:70" x14ac:dyDescent="0.25">
      <c r="B178" s="216"/>
      <c r="C178" s="125"/>
      <c r="D178" s="125"/>
      <c r="E178" s="125"/>
      <c r="F178" s="125"/>
      <c r="G178" s="125"/>
      <c r="H178" s="125"/>
      <c r="I178" s="125"/>
      <c r="J178" s="125"/>
      <c r="K178" s="125"/>
      <c r="L178" s="125"/>
      <c r="M178" s="125"/>
      <c r="N178" s="125"/>
      <c r="O178" s="125"/>
      <c r="P178" s="125"/>
      <c r="Q178" s="125"/>
      <c r="R178" s="125"/>
      <c r="S178" s="125"/>
      <c r="T178" s="125"/>
      <c r="U178" s="125"/>
      <c r="V178" s="125"/>
      <c r="W178" s="125"/>
      <c r="X178" s="125"/>
      <c r="Y178" s="125"/>
      <c r="Z178" s="125"/>
      <c r="AA178" s="125"/>
      <c r="AB178" s="125"/>
      <c r="AC178" s="125"/>
      <c r="AD178" s="125"/>
      <c r="AE178" s="125"/>
      <c r="AF178" s="125"/>
      <c r="AG178" s="125"/>
      <c r="AH178" s="125"/>
      <c r="AI178" s="125"/>
      <c r="AJ178" s="125"/>
      <c r="AK178" s="125"/>
      <c r="AL178" s="125"/>
      <c r="AM178" s="125"/>
      <c r="AN178" s="125"/>
      <c r="AO178" s="125"/>
      <c r="AP178" s="125"/>
      <c r="AQ178" s="125"/>
      <c r="AR178" s="125"/>
      <c r="AS178" s="125"/>
      <c r="AT178" s="125"/>
      <c r="AU178" s="125"/>
      <c r="AV178" s="125"/>
      <c r="AW178" s="125"/>
      <c r="AX178" s="125"/>
      <c r="AY178" s="125"/>
      <c r="AZ178" s="125"/>
      <c r="BA178" s="125"/>
      <c r="BB178" s="125"/>
      <c r="BC178" s="125"/>
      <c r="BD178" s="125"/>
      <c r="BE178" s="125"/>
      <c r="BF178" s="125"/>
      <c r="BG178" s="125"/>
      <c r="BH178" s="125"/>
      <c r="BI178" s="125"/>
      <c r="BJ178" s="125"/>
      <c r="BK178" s="125"/>
      <c r="BL178" s="125"/>
      <c r="BM178" s="125"/>
      <c r="BN178" s="125"/>
      <c r="BO178" s="125"/>
      <c r="BP178" s="128"/>
      <c r="BQ178" s="125"/>
      <c r="BR178" s="125"/>
    </row>
    <row r="179" spans="2:70" x14ac:dyDescent="0.25">
      <c r="B179" s="216"/>
      <c r="C179" s="125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  <c r="Z179" s="125"/>
      <c r="AA179" s="125"/>
      <c r="AB179" s="125"/>
      <c r="AC179" s="125"/>
      <c r="AD179" s="125"/>
      <c r="AE179" s="125"/>
      <c r="AF179" s="125"/>
      <c r="AG179" s="125"/>
      <c r="AH179" s="125"/>
      <c r="AI179" s="125"/>
      <c r="AJ179" s="125"/>
      <c r="AK179" s="125"/>
      <c r="AL179" s="125"/>
      <c r="AM179" s="125"/>
      <c r="AN179" s="125"/>
      <c r="AO179" s="125"/>
      <c r="AP179" s="125"/>
      <c r="AQ179" s="125"/>
      <c r="AR179" s="125"/>
      <c r="AS179" s="125"/>
      <c r="AT179" s="125"/>
      <c r="AU179" s="125"/>
      <c r="AV179" s="125"/>
      <c r="AW179" s="125"/>
      <c r="AX179" s="125"/>
      <c r="AY179" s="125"/>
      <c r="AZ179" s="125"/>
      <c r="BA179" s="125"/>
      <c r="BB179" s="125"/>
      <c r="BC179" s="125"/>
      <c r="BD179" s="125"/>
      <c r="BE179" s="125"/>
      <c r="BF179" s="125"/>
      <c r="BG179" s="125"/>
      <c r="BH179" s="125"/>
      <c r="BI179" s="125"/>
      <c r="BJ179" s="125"/>
      <c r="BK179" s="125"/>
      <c r="BL179" s="125"/>
      <c r="BM179" s="125"/>
      <c r="BN179" s="125"/>
      <c r="BO179" s="125"/>
      <c r="BP179" s="128"/>
      <c r="BQ179" s="125"/>
      <c r="BR179" s="125"/>
    </row>
    <row r="180" spans="2:70" x14ac:dyDescent="0.25">
      <c r="B180" s="216"/>
      <c r="C180" s="125"/>
      <c r="D180" s="125"/>
      <c r="E180" s="125"/>
      <c r="F180" s="125"/>
      <c r="G180" s="125"/>
      <c r="H180" s="125"/>
      <c r="I180" s="125"/>
      <c r="J180" s="125"/>
      <c r="K180" s="125"/>
      <c r="L180" s="125"/>
      <c r="M180" s="125"/>
      <c r="N180" s="125"/>
      <c r="O180" s="125"/>
      <c r="P180" s="125"/>
      <c r="Q180" s="125"/>
      <c r="R180" s="125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5"/>
      <c r="BC180" s="125"/>
      <c r="BD180" s="125"/>
      <c r="BE180" s="125"/>
      <c r="BF180" s="125"/>
      <c r="BG180" s="125"/>
      <c r="BH180" s="125"/>
      <c r="BI180" s="125"/>
      <c r="BJ180" s="125"/>
      <c r="BK180" s="125"/>
      <c r="BL180" s="125"/>
      <c r="BM180" s="125"/>
      <c r="BN180" s="125"/>
      <c r="BO180" s="125"/>
      <c r="BP180" s="128"/>
      <c r="BQ180" s="125"/>
      <c r="BR180" s="125"/>
    </row>
    <row r="181" spans="2:70" x14ac:dyDescent="0.25">
      <c r="B181" s="216"/>
      <c r="C181" s="125"/>
      <c r="D181" s="125"/>
      <c r="E181" s="125"/>
      <c r="F181" s="125"/>
      <c r="G181" s="125"/>
      <c r="H181" s="125"/>
      <c r="I181" s="125"/>
      <c r="J181" s="125"/>
      <c r="K181" s="125"/>
      <c r="L181" s="125"/>
      <c r="M181" s="125"/>
      <c r="N181" s="125"/>
      <c r="O181" s="125"/>
      <c r="P181" s="125"/>
      <c r="Q181" s="125"/>
      <c r="R181" s="125"/>
      <c r="S181" s="125"/>
      <c r="T181" s="125"/>
      <c r="U181" s="125"/>
      <c r="V181" s="125"/>
      <c r="W181" s="125"/>
      <c r="X181" s="125"/>
      <c r="Y181" s="125"/>
      <c r="Z181" s="125"/>
      <c r="AA181" s="125"/>
      <c r="AB181" s="125"/>
      <c r="AC181" s="125"/>
      <c r="AD181" s="125"/>
      <c r="AE181" s="125"/>
      <c r="AF181" s="125"/>
      <c r="AG181" s="125"/>
      <c r="AH181" s="125"/>
      <c r="AI181" s="125"/>
      <c r="AJ181" s="125"/>
      <c r="AK181" s="125"/>
      <c r="AL181" s="125"/>
      <c r="AM181" s="125"/>
      <c r="AN181" s="125"/>
      <c r="AO181" s="125"/>
      <c r="AP181" s="125"/>
      <c r="AQ181" s="125"/>
      <c r="AR181" s="125"/>
      <c r="AS181" s="125"/>
      <c r="AT181" s="125"/>
      <c r="AU181" s="125"/>
      <c r="AV181" s="125"/>
      <c r="AW181" s="125"/>
      <c r="AX181" s="125"/>
      <c r="AY181" s="125"/>
      <c r="AZ181" s="125"/>
      <c r="BA181" s="125"/>
      <c r="BB181" s="125"/>
      <c r="BC181" s="125"/>
      <c r="BD181" s="125"/>
      <c r="BE181" s="125"/>
      <c r="BF181" s="125"/>
      <c r="BG181" s="125"/>
      <c r="BH181" s="125"/>
      <c r="BI181" s="125"/>
      <c r="BJ181" s="125"/>
      <c r="BK181" s="125"/>
      <c r="BL181" s="125"/>
      <c r="BM181" s="125"/>
      <c r="BN181" s="125"/>
      <c r="BO181" s="125"/>
      <c r="BP181" s="128"/>
      <c r="BQ181" s="125"/>
      <c r="BR181" s="125"/>
    </row>
    <row r="182" spans="2:70" x14ac:dyDescent="0.25">
      <c r="B182" s="216"/>
      <c r="C182" s="125"/>
      <c r="D182" s="125"/>
      <c r="E182" s="125"/>
      <c r="F182" s="125"/>
      <c r="G182" s="125"/>
      <c r="H182" s="125"/>
      <c r="I182" s="125"/>
      <c r="J182" s="125"/>
      <c r="K182" s="125"/>
      <c r="L182" s="125"/>
      <c r="M182" s="125"/>
      <c r="N182" s="125"/>
      <c r="O182" s="125"/>
      <c r="P182" s="125"/>
      <c r="Q182" s="125"/>
      <c r="R182" s="125"/>
      <c r="S182" s="125"/>
      <c r="T182" s="125"/>
      <c r="U182" s="125"/>
      <c r="V182" s="125"/>
      <c r="W182" s="125"/>
      <c r="X182" s="125"/>
      <c r="Y182" s="125"/>
      <c r="Z182" s="125"/>
      <c r="AA182" s="125"/>
      <c r="AB182" s="125"/>
      <c r="AC182" s="125"/>
      <c r="AD182" s="125"/>
      <c r="AE182" s="125"/>
      <c r="AF182" s="125"/>
      <c r="AG182" s="125"/>
      <c r="AH182" s="125"/>
      <c r="AI182" s="125"/>
      <c r="AJ182" s="125"/>
      <c r="AK182" s="125"/>
      <c r="AL182" s="125"/>
      <c r="AM182" s="125"/>
      <c r="AN182" s="125"/>
      <c r="AO182" s="125"/>
      <c r="AP182" s="125"/>
      <c r="AQ182" s="125"/>
      <c r="AR182" s="125"/>
      <c r="AS182" s="125"/>
      <c r="AT182" s="125"/>
      <c r="AU182" s="125"/>
      <c r="AV182" s="125"/>
      <c r="AW182" s="125"/>
      <c r="AX182" s="125"/>
      <c r="AY182" s="125"/>
      <c r="AZ182" s="125"/>
      <c r="BA182" s="125"/>
      <c r="BB182" s="125"/>
      <c r="BC182" s="125"/>
      <c r="BD182" s="125"/>
      <c r="BE182" s="125"/>
      <c r="BF182" s="125"/>
      <c r="BG182" s="125"/>
      <c r="BH182" s="125"/>
      <c r="BI182" s="125"/>
      <c r="BJ182" s="125"/>
      <c r="BK182" s="125"/>
      <c r="BL182" s="125"/>
      <c r="BM182" s="125"/>
      <c r="BN182" s="125"/>
      <c r="BO182" s="125"/>
      <c r="BP182" s="128"/>
      <c r="BQ182" s="125"/>
      <c r="BR182" s="125"/>
    </row>
    <row r="183" spans="2:70" x14ac:dyDescent="0.25">
      <c r="B183" s="216"/>
      <c r="C183" s="125"/>
      <c r="D183" s="125"/>
      <c r="E183" s="125"/>
      <c r="F183" s="125"/>
      <c r="G183" s="125"/>
      <c r="H183" s="125"/>
      <c r="I183" s="125"/>
      <c r="J183" s="125"/>
      <c r="K183" s="125"/>
      <c r="L183" s="125"/>
      <c r="M183" s="125"/>
      <c r="N183" s="125"/>
      <c r="O183" s="125"/>
      <c r="P183" s="125"/>
      <c r="Q183" s="125"/>
      <c r="R183" s="125"/>
      <c r="S183" s="125"/>
      <c r="T183" s="125"/>
      <c r="U183" s="125"/>
      <c r="V183" s="125"/>
      <c r="W183" s="125"/>
      <c r="X183" s="125"/>
      <c r="Y183" s="125"/>
      <c r="Z183" s="125"/>
      <c r="AA183" s="125"/>
      <c r="AB183" s="125"/>
      <c r="AC183" s="125"/>
      <c r="AD183" s="125"/>
      <c r="AE183" s="125"/>
      <c r="AF183" s="125"/>
      <c r="AG183" s="125"/>
      <c r="AH183" s="125"/>
      <c r="AI183" s="125"/>
      <c r="AJ183" s="125"/>
      <c r="AK183" s="125"/>
      <c r="AL183" s="125"/>
      <c r="AM183" s="125"/>
      <c r="AN183" s="125"/>
      <c r="AO183" s="125"/>
      <c r="AP183" s="125"/>
      <c r="AQ183" s="125"/>
      <c r="AR183" s="125"/>
      <c r="AS183" s="125"/>
      <c r="AT183" s="125"/>
      <c r="AU183" s="125"/>
      <c r="AV183" s="125"/>
      <c r="AW183" s="125"/>
      <c r="AX183" s="125"/>
      <c r="AY183" s="125"/>
      <c r="AZ183" s="125"/>
      <c r="BA183" s="125"/>
      <c r="BB183" s="125"/>
      <c r="BC183" s="125"/>
      <c r="BD183" s="125"/>
      <c r="BE183" s="125"/>
      <c r="BF183" s="125"/>
      <c r="BG183" s="125"/>
      <c r="BH183" s="125"/>
      <c r="BI183" s="125"/>
      <c r="BJ183" s="125"/>
      <c r="BK183" s="125"/>
      <c r="BL183" s="125"/>
      <c r="BM183" s="125"/>
      <c r="BN183" s="125"/>
      <c r="BO183" s="125"/>
      <c r="BP183" s="128"/>
      <c r="BQ183" s="125"/>
      <c r="BR183" s="125"/>
    </row>
    <row r="184" spans="2:70" s="127" customFormat="1" ht="18.75" x14ac:dyDescent="0.3">
      <c r="B184" s="219"/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  <c r="Z184" s="126"/>
      <c r="AA184" s="126"/>
      <c r="AB184" s="126"/>
      <c r="AC184" s="126"/>
      <c r="AD184" s="126"/>
      <c r="AE184" s="126"/>
      <c r="AF184" s="126"/>
      <c r="AG184" s="126"/>
      <c r="AH184" s="126"/>
      <c r="AI184" s="126"/>
      <c r="AJ184" s="126"/>
      <c r="AK184" s="126"/>
      <c r="AL184" s="126"/>
      <c r="AM184" s="126"/>
      <c r="AN184" s="126"/>
      <c r="AO184" s="126"/>
      <c r="AP184" s="126"/>
      <c r="AQ184" s="126"/>
      <c r="AR184" s="126"/>
      <c r="AS184" s="126"/>
      <c r="AT184" s="126"/>
      <c r="AU184" s="126"/>
      <c r="AV184" s="126"/>
      <c r="AW184" s="126"/>
      <c r="AX184" s="126"/>
      <c r="AY184" s="126"/>
      <c r="AZ184" s="126"/>
      <c r="BA184" s="126"/>
      <c r="BB184" s="126"/>
      <c r="BC184" s="126"/>
      <c r="BD184" s="126"/>
      <c r="BE184" s="126"/>
      <c r="BF184" s="126"/>
      <c r="BG184" s="126"/>
      <c r="BH184" s="126"/>
      <c r="BI184" s="126"/>
      <c r="BJ184" s="126"/>
      <c r="BK184" s="126"/>
      <c r="BL184" s="126"/>
      <c r="BM184" s="126"/>
      <c r="BN184" s="126"/>
      <c r="BO184" s="126"/>
    </row>
    <row r="185" spans="2:70" s="127" customFormat="1" x14ac:dyDescent="0.25">
      <c r="B185" s="220"/>
    </row>
    <row r="186" spans="2:70" s="127" customFormat="1" x14ac:dyDescent="0.25">
      <c r="B186" s="220"/>
    </row>
    <row r="187" spans="2:70" s="127" customFormat="1" x14ac:dyDescent="0.25">
      <c r="B187" s="220"/>
    </row>
    <row r="188" spans="2:70" s="127" customFormat="1" x14ac:dyDescent="0.25">
      <c r="B188" s="220"/>
    </row>
    <row r="189" spans="2:70" s="221" customFormat="1" ht="18.75" x14ac:dyDescent="0.3">
      <c r="B189" s="216"/>
      <c r="C189" s="125"/>
      <c r="D189" s="125"/>
      <c r="E189" s="125"/>
      <c r="F189" s="125"/>
      <c r="G189" s="125"/>
      <c r="H189" s="125"/>
      <c r="I189" s="125"/>
      <c r="J189" s="125"/>
      <c r="K189" s="125"/>
      <c r="L189" s="125"/>
      <c r="M189" s="125"/>
      <c r="N189" s="125"/>
      <c r="O189" s="125"/>
      <c r="P189" s="125"/>
      <c r="Q189" s="125"/>
      <c r="R189" s="125"/>
      <c r="S189" s="125"/>
      <c r="T189" s="125"/>
      <c r="U189" s="125"/>
      <c r="V189" s="125"/>
      <c r="W189" s="125"/>
      <c r="X189" s="125"/>
      <c r="Y189" s="125"/>
      <c r="Z189" s="125"/>
      <c r="AA189" s="125"/>
      <c r="AB189" s="125"/>
      <c r="AC189" s="125"/>
      <c r="AD189" s="125"/>
      <c r="AE189" s="125"/>
      <c r="AF189" s="125"/>
      <c r="AG189" s="125"/>
      <c r="AH189" s="125"/>
      <c r="AI189" s="125"/>
      <c r="AJ189" s="125"/>
      <c r="AK189" s="125"/>
      <c r="AL189" s="125"/>
      <c r="AM189" s="125"/>
      <c r="AN189" s="125"/>
      <c r="AO189" s="125"/>
      <c r="AP189" s="125"/>
      <c r="AQ189" s="125"/>
      <c r="AR189" s="125"/>
      <c r="AS189" s="125"/>
      <c r="AT189" s="125"/>
      <c r="AU189" s="125"/>
      <c r="AV189" s="125"/>
      <c r="AW189" s="125"/>
      <c r="AX189" s="125"/>
      <c r="AY189" s="125"/>
      <c r="AZ189" s="125"/>
      <c r="BA189" s="125"/>
      <c r="BB189" s="125"/>
      <c r="BC189" s="125"/>
      <c r="BD189" s="125"/>
      <c r="BE189" s="125"/>
      <c r="BF189" s="125"/>
      <c r="BG189" s="125"/>
      <c r="BH189" s="125"/>
      <c r="BI189" s="125"/>
      <c r="BJ189" s="125"/>
      <c r="BK189" s="125"/>
      <c r="BL189" s="125"/>
      <c r="BM189" s="125"/>
      <c r="BN189" s="125"/>
      <c r="BO189" s="125"/>
      <c r="BP189" s="128"/>
      <c r="BQ189" s="222"/>
      <c r="BR189" s="222"/>
    </row>
    <row r="190" spans="2:70" x14ac:dyDescent="0.25">
      <c r="B190" s="216"/>
      <c r="C190" s="125"/>
      <c r="D190" s="125"/>
      <c r="E190" s="125"/>
      <c r="F190" s="125"/>
      <c r="G190" s="125"/>
      <c r="H190" s="125"/>
      <c r="I190" s="125"/>
      <c r="J190" s="125"/>
      <c r="K190" s="125"/>
      <c r="L190" s="125"/>
      <c r="M190" s="125"/>
      <c r="N190" s="125"/>
      <c r="O190" s="125"/>
      <c r="P190" s="125"/>
      <c r="Q190" s="125"/>
      <c r="R190" s="125"/>
      <c r="S190" s="125"/>
      <c r="T190" s="125"/>
      <c r="U190" s="125"/>
      <c r="V190" s="125"/>
      <c r="W190" s="125"/>
      <c r="X190" s="125"/>
      <c r="Y190" s="125"/>
      <c r="Z190" s="125"/>
      <c r="AA190" s="125"/>
      <c r="AB190" s="125"/>
      <c r="AC190" s="125"/>
      <c r="AD190" s="125"/>
      <c r="AE190" s="125"/>
      <c r="AF190" s="125"/>
      <c r="AG190" s="125"/>
      <c r="AH190" s="125"/>
      <c r="AI190" s="125"/>
      <c r="AJ190" s="125"/>
      <c r="AK190" s="125"/>
      <c r="AL190" s="125"/>
      <c r="AM190" s="125"/>
      <c r="AN190" s="125"/>
      <c r="AO190" s="125"/>
      <c r="AP190" s="125"/>
      <c r="AQ190" s="125"/>
      <c r="AR190" s="125"/>
      <c r="AS190" s="125"/>
      <c r="AT190" s="125"/>
      <c r="AU190" s="125"/>
      <c r="AV190" s="125"/>
      <c r="AW190" s="125"/>
      <c r="AX190" s="125"/>
      <c r="AY190" s="125"/>
      <c r="AZ190" s="125"/>
      <c r="BA190" s="125"/>
      <c r="BB190" s="125"/>
      <c r="BC190" s="125"/>
      <c r="BD190" s="125"/>
      <c r="BE190" s="125"/>
      <c r="BF190" s="125"/>
      <c r="BG190" s="125"/>
      <c r="BH190" s="125"/>
      <c r="BI190" s="125"/>
      <c r="BJ190" s="125"/>
      <c r="BK190" s="125"/>
      <c r="BL190" s="125"/>
      <c r="BM190" s="125"/>
      <c r="BN190" s="125"/>
      <c r="BO190" s="125"/>
      <c r="BP190" s="128"/>
      <c r="BQ190" s="125"/>
      <c r="BR190" s="125"/>
    </row>
    <row r="191" spans="2:70" s="128" customFormat="1" ht="18.75" x14ac:dyDescent="0.3">
      <c r="B191" s="223"/>
    </row>
    <row r="192" spans="2:70" s="128" customFormat="1" x14ac:dyDescent="0.25">
      <c r="B192" s="224"/>
    </row>
    <row r="193" spans="1:72" s="128" customFormat="1" x14ac:dyDescent="0.25">
      <c r="B193" s="224"/>
    </row>
    <row r="194" spans="1:72" x14ac:dyDescent="0.25">
      <c r="B194" s="216"/>
      <c r="C194" s="125"/>
      <c r="D194" s="125"/>
      <c r="E194" s="125"/>
      <c r="F194" s="225"/>
      <c r="G194" s="225"/>
      <c r="H194" s="225"/>
      <c r="I194" s="125"/>
      <c r="J194" s="125"/>
      <c r="K194" s="125"/>
      <c r="L194" s="125"/>
      <c r="M194" s="125"/>
      <c r="N194" s="125"/>
      <c r="O194" s="125"/>
      <c r="P194" s="125"/>
      <c r="Q194" s="125"/>
      <c r="R194" s="125"/>
      <c r="S194" s="125"/>
      <c r="T194" s="125"/>
      <c r="U194" s="125"/>
      <c r="V194" s="125"/>
      <c r="W194" s="125"/>
      <c r="X194" s="125"/>
      <c r="Y194" s="125"/>
      <c r="Z194" s="125"/>
      <c r="AA194" s="125"/>
      <c r="AB194" s="125"/>
      <c r="AC194" s="125"/>
      <c r="AD194" s="125"/>
      <c r="AE194" s="125"/>
      <c r="AF194" s="125"/>
      <c r="AG194" s="125"/>
      <c r="AH194" s="125"/>
      <c r="AI194" s="125"/>
      <c r="AJ194" s="125"/>
      <c r="AK194" s="125"/>
      <c r="AL194" s="125"/>
      <c r="AM194" s="125"/>
      <c r="AN194" s="125"/>
      <c r="AO194" s="125"/>
      <c r="AP194" s="125"/>
      <c r="AQ194" s="125"/>
      <c r="AR194" s="125"/>
      <c r="AS194" s="125"/>
      <c r="AT194" s="125"/>
      <c r="AU194" s="125"/>
      <c r="AV194" s="125"/>
      <c r="AW194" s="125"/>
      <c r="AX194" s="125"/>
      <c r="AY194" s="125"/>
      <c r="AZ194" s="125"/>
      <c r="BA194" s="125"/>
      <c r="BB194" s="125"/>
      <c r="BC194" s="125"/>
      <c r="BD194" s="125"/>
      <c r="BE194" s="125"/>
      <c r="BF194" s="125"/>
      <c r="BG194" s="125"/>
      <c r="BH194" s="125"/>
      <c r="BI194" s="125"/>
      <c r="BJ194" s="125"/>
      <c r="BK194" s="125"/>
      <c r="BL194" s="125"/>
      <c r="BM194" s="125"/>
      <c r="BN194" s="125"/>
      <c r="BO194" s="125"/>
      <c r="BP194" s="128"/>
      <c r="BQ194" s="125"/>
      <c r="BR194" s="125"/>
    </row>
    <row r="195" spans="1:72" x14ac:dyDescent="0.25">
      <c r="B195" s="216"/>
      <c r="C195" s="125"/>
      <c r="D195" s="125"/>
      <c r="E195" s="125"/>
      <c r="F195" s="225"/>
      <c r="G195" s="225"/>
      <c r="H195" s="225"/>
      <c r="I195" s="125"/>
      <c r="J195" s="125"/>
      <c r="K195" s="125"/>
      <c r="L195" s="125"/>
      <c r="M195" s="125"/>
      <c r="N195" s="125"/>
      <c r="O195" s="125"/>
      <c r="P195" s="125"/>
      <c r="Q195" s="125"/>
      <c r="R195" s="125"/>
      <c r="S195" s="125"/>
      <c r="T195" s="125"/>
      <c r="U195" s="125"/>
      <c r="V195" s="125"/>
      <c r="W195" s="125"/>
      <c r="X195" s="125"/>
      <c r="Y195" s="125"/>
      <c r="Z195" s="125"/>
      <c r="AA195" s="125"/>
      <c r="AB195" s="125"/>
      <c r="AC195" s="125"/>
      <c r="AD195" s="125"/>
      <c r="AE195" s="125"/>
      <c r="AF195" s="125"/>
      <c r="AG195" s="125"/>
      <c r="AH195" s="125"/>
      <c r="AI195" s="125"/>
      <c r="AJ195" s="125"/>
      <c r="AK195" s="125"/>
      <c r="AL195" s="125"/>
      <c r="AM195" s="125"/>
      <c r="AN195" s="125"/>
      <c r="AO195" s="125"/>
      <c r="AP195" s="125"/>
      <c r="AQ195" s="125"/>
      <c r="AR195" s="125"/>
      <c r="AS195" s="125"/>
      <c r="AT195" s="125"/>
      <c r="AU195" s="125"/>
      <c r="AV195" s="125"/>
      <c r="AW195" s="125"/>
      <c r="AX195" s="125"/>
      <c r="AY195" s="125"/>
      <c r="AZ195" s="125"/>
      <c r="BA195" s="125"/>
      <c r="BB195" s="125"/>
      <c r="BC195" s="125"/>
      <c r="BD195" s="125"/>
      <c r="BE195" s="125"/>
      <c r="BF195" s="125"/>
      <c r="BG195" s="125"/>
      <c r="BH195" s="125"/>
      <c r="BI195" s="125"/>
      <c r="BJ195" s="125"/>
      <c r="BK195" s="125"/>
      <c r="BL195" s="125"/>
      <c r="BM195" s="125"/>
      <c r="BN195" s="125"/>
      <c r="BO195" s="125"/>
      <c r="BP195" s="128"/>
      <c r="BQ195" s="125"/>
      <c r="BR195" s="125"/>
    </row>
    <row r="196" spans="1:72" x14ac:dyDescent="0.25">
      <c r="B196" s="216"/>
      <c r="C196" s="125"/>
      <c r="D196" s="125"/>
      <c r="E196" s="125"/>
      <c r="F196" s="225"/>
      <c r="G196" s="225"/>
      <c r="H196" s="225"/>
      <c r="I196" s="125"/>
      <c r="J196" s="125"/>
      <c r="K196" s="125"/>
      <c r="L196" s="125"/>
      <c r="M196" s="125"/>
      <c r="N196" s="125"/>
      <c r="O196" s="125"/>
      <c r="P196" s="125"/>
      <c r="Q196" s="125"/>
      <c r="R196" s="125"/>
      <c r="S196" s="125"/>
      <c r="T196" s="125"/>
      <c r="U196" s="125"/>
      <c r="V196" s="125"/>
      <c r="W196" s="125"/>
      <c r="X196" s="125"/>
      <c r="Y196" s="125"/>
      <c r="Z196" s="125"/>
      <c r="AA196" s="125"/>
      <c r="AB196" s="125"/>
      <c r="AC196" s="125"/>
      <c r="AD196" s="125"/>
      <c r="AE196" s="125"/>
      <c r="AF196" s="125"/>
      <c r="AG196" s="125"/>
      <c r="AH196" s="125"/>
      <c r="AI196" s="125"/>
      <c r="AJ196" s="125"/>
      <c r="AK196" s="125"/>
      <c r="AL196" s="125"/>
      <c r="AM196" s="125"/>
      <c r="AN196" s="125"/>
      <c r="AO196" s="125"/>
      <c r="AP196" s="125"/>
      <c r="AQ196" s="125"/>
      <c r="AR196" s="125"/>
      <c r="AS196" s="125"/>
      <c r="AT196" s="125"/>
      <c r="AU196" s="125"/>
      <c r="AV196" s="125"/>
      <c r="AW196" s="125"/>
      <c r="AX196" s="125"/>
      <c r="AY196" s="125"/>
      <c r="AZ196" s="125"/>
      <c r="BA196" s="125"/>
      <c r="BB196" s="125"/>
      <c r="BC196" s="125"/>
      <c r="BD196" s="125"/>
      <c r="BE196" s="125"/>
      <c r="BF196" s="125"/>
      <c r="BG196" s="125"/>
      <c r="BH196" s="125"/>
      <c r="BI196" s="125"/>
      <c r="BJ196" s="125"/>
      <c r="BK196" s="125"/>
      <c r="BL196" s="125"/>
      <c r="BM196" s="125"/>
      <c r="BN196" s="125"/>
      <c r="BO196" s="125"/>
      <c r="BP196" s="128"/>
      <c r="BQ196" s="125"/>
      <c r="BR196" s="125"/>
    </row>
    <row r="197" spans="1:72" x14ac:dyDescent="0.25">
      <c r="B197" s="216"/>
      <c r="C197" s="125"/>
      <c r="D197" s="125"/>
      <c r="E197" s="125"/>
      <c r="F197" s="225"/>
      <c r="G197" s="225"/>
      <c r="H197" s="225"/>
      <c r="I197" s="125"/>
      <c r="J197" s="125"/>
      <c r="K197" s="125"/>
      <c r="L197" s="125"/>
      <c r="M197" s="125"/>
      <c r="N197" s="125"/>
      <c r="O197" s="125"/>
      <c r="P197" s="125"/>
      <c r="Q197" s="125"/>
      <c r="R197" s="125"/>
      <c r="S197" s="125"/>
      <c r="T197" s="125"/>
      <c r="U197" s="125"/>
      <c r="V197" s="125"/>
      <c r="W197" s="125"/>
      <c r="X197" s="125"/>
      <c r="Y197" s="125"/>
      <c r="Z197" s="125"/>
      <c r="AA197" s="125"/>
      <c r="AB197" s="125"/>
      <c r="AC197" s="125"/>
      <c r="AD197" s="125"/>
      <c r="AE197" s="125"/>
      <c r="AF197" s="125"/>
      <c r="AG197" s="125"/>
      <c r="AH197" s="125"/>
      <c r="AI197" s="125"/>
      <c r="AJ197" s="125"/>
      <c r="AK197" s="125"/>
      <c r="AL197" s="125"/>
      <c r="AM197" s="125"/>
      <c r="AN197" s="125"/>
      <c r="AO197" s="125"/>
      <c r="AP197" s="125"/>
      <c r="AQ197" s="125"/>
      <c r="AR197" s="125"/>
      <c r="AS197" s="125"/>
      <c r="AT197" s="125"/>
      <c r="AU197" s="125"/>
      <c r="AV197" s="125"/>
      <c r="AW197" s="125"/>
      <c r="AX197" s="125"/>
      <c r="AY197" s="125"/>
      <c r="AZ197" s="125"/>
      <c r="BA197" s="125"/>
      <c r="BB197" s="125"/>
      <c r="BC197" s="125"/>
      <c r="BD197" s="125"/>
      <c r="BE197" s="125"/>
      <c r="BF197" s="125"/>
      <c r="BG197" s="125"/>
      <c r="BH197" s="125"/>
      <c r="BI197" s="125"/>
      <c r="BJ197" s="125"/>
      <c r="BK197" s="125"/>
      <c r="BL197" s="125"/>
      <c r="BM197" s="125"/>
      <c r="BN197" s="125"/>
      <c r="BO197" s="125"/>
      <c r="BP197" s="128"/>
      <c r="BQ197" s="125"/>
      <c r="BR197" s="125"/>
    </row>
    <row r="198" spans="1:72" x14ac:dyDescent="0.25">
      <c r="B198" s="216"/>
      <c r="C198" s="226"/>
      <c r="D198" s="226"/>
      <c r="E198" s="226"/>
      <c r="F198" s="226"/>
      <c r="G198" s="226"/>
      <c r="H198" s="226"/>
      <c r="I198" s="226"/>
      <c r="J198" s="226"/>
      <c r="K198" s="226"/>
      <c r="L198" s="226"/>
      <c r="M198" s="226"/>
      <c r="N198" s="226"/>
      <c r="O198" s="226"/>
      <c r="P198" s="226"/>
      <c r="Q198" s="226"/>
      <c r="R198" s="226"/>
      <c r="S198" s="226"/>
      <c r="T198" s="226"/>
      <c r="U198" s="226"/>
      <c r="V198" s="226"/>
      <c r="W198" s="226"/>
      <c r="X198" s="226"/>
      <c r="Y198" s="226"/>
      <c r="Z198" s="226"/>
      <c r="AA198" s="226"/>
      <c r="AB198" s="226"/>
      <c r="AC198" s="226"/>
      <c r="AD198" s="226"/>
      <c r="AE198" s="226"/>
      <c r="AF198" s="226"/>
      <c r="AG198" s="226"/>
      <c r="AH198" s="226"/>
      <c r="AI198" s="226"/>
      <c r="AJ198" s="226"/>
      <c r="AK198" s="226"/>
      <c r="AL198" s="226"/>
      <c r="AM198" s="226"/>
      <c r="AN198" s="226"/>
      <c r="AO198" s="226"/>
      <c r="AP198" s="226"/>
      <c r="AQ198" s="226"/>
      <c r="AR198" s="226"/>
      <c r="AS198" s="226"/>
      <c r="AT198" s="226"/>
      <c r="AU198" s="226"/>
      <c r="AV198" s="226"/>
      <c r="AW198" s="226"/>
      <c r="AX198" s="226"/>
      <c r="AY198" s="226"/>
      <c r="AZ198" s="226"/>
      <c r="BA198" s="226"/>
      <c r="BB198" s="226"/>
      <c r="BC198" s="226"/>
      <c r="BD198" s="226"/>
      <c r="BE198" s="226"/>
      <c r="BF198" s="226"/>
      <c r="BG198" s="226"/>
      <c r="BH198" s="226"/>
      <c r="BI198" s="226"/>
      <c r="BJ198" s="125"/>
      <c r="BK198" s="125"/>
      <c r="BL198" s="125"/>
      <c r="BM198" s="125"/>
      <c r="BN198" s="125"/>
      <c r="BO198" s="125"/>
      <c r="BP198" s="128"/>
      <c r="BQ198" s="125"/>
      <c r="BR198" s="125"/>
    </row>
    <row r="199" spans="1:72" x14ac:dyDescent="0.25">
      <c r="BJ199" s="1"/>
      <c r="BK199" s="1"/>
      <c r="BL199" s="1"/>
    </row>
    <row r="200" spans="1:72" x14ac:dyDescent="0.25">
      <c r="BJ200" s="1"/>
      <c r="BK200" s="1"/>
      <c r="BL200" s="1"/>
    </row>
    <row r="201" spans="1:72" s="230" customFormat="1" ht="67.900000000000006" customHeight="1" x14ac:dyDescent="0.25">
      <c r="A201" s="227"/>
      <c r="B201" s="228"/>
      <c r="C201" s="75"/>
      <c r="D201" s="75"/>
      <c r="E201" s="75"/>
      <c r="F201" s="75"/>
      <c r="G201" s="75"/>
      <c r="H201" s="75"/>
      <c r="I201" s="229"/>
      <c r="J201" s="229"/>
      <c r="K201" s="229"/>
      <c r="L201" s="75"/>
      <c r="M201" s="75"/>
      <c r="N201" s="75"/>
      <c r="O201" s="75"/>
      <c r="P201" s="75"/>
      <c r="Q201" s="75"/>
      <c r="R201" s="75"/>
      <c r="S201" s="75"/>
      <c r="T201" s="75"/>
      <c r="U201" s="75"/>
      <c r="V201" s="75"/>
      <c r="W201" s="75"/>
      <c r="X201" s="75"/>
      <c r="Y201" s="229"/>
      <c r="Z201" s="229"/>
      <c r="AA201" s="229"/>
      <c r="AB201" s="229"/>
      <c r="AC201" s="229"/>
      <c r="AD201" s="229"/>
      <c r="AE201" s="229"/>
      <c r="AF201" s="229"/>
      <c r="AG201" s="229"/>
      <c r="AH201" s="229"/>
      <c r="AI201" s="229"/>
      <c r="AJ201" s="229"/>
      <c r="AK201" s="229"/>
      <c r="AL201" s="75"/>
      <c r="AM201" s="75"/>
      <c r="AN201" s="75"/>
      <c r="AO201" s="75"/>
      <c r="AP201" s="75"/>
      <c r="AQ201" s="75"/>
      <c r="AR201" s="75"/>
      <c r="AS201" s="75"/>
      <c r="AT201" s="75"/>
      <c r="AU201" s="75"/>
      <c r="AV201" s="75"/>
      <c r="AW201" s="229"/>
      <c r="AX201" s="229"/>
      <c r="AY201" s="229"/>
      <c r="AZ201" s="75"/>
      <c r="BA201" s="75"/>
      <c r="BB201" s="75"/>
      <c r="BC201" s="75"/>
      <c r="BD201" s="75"/>
      <c r="BE201" s="75"/>
      <c r="BF201" s="75"/>
      <c r="BG201" s="106"/>
      <c r="BH201" s="106"/>
      <c r="BI201" s="106"/>
      <c r="BJ201" s="75"/>
      <c r="BK201" s="75"/>
      <c r="BL201" s="75"/>
      <c r="BM201" s="75"/>
      <c r="BN201" s="75"/>
      <c r="BO201" s="75"/>
      <c r="BQ201" s="76"/>
      <c r="BS201" s="231"/>
      <c r="BT201" s="15"/>
    </row>
    <row r="202" spans="1:72" x14ac:dyDescent="0.25">
      <c r="BJ202" s="1"/>
      <c r="BK202" s="1"/>
      <c r="BL202" s="1"/>
    </row>
    <row r="203" spans="1:72" x14ac:dyDescent="0.25">
      <c r="BJ203" s="1"/>
      <c r="BK203" s="1"/>
      <c r="BL203" s="1"/>
    </row>
    <row r="204" spans="1:72" s="214" customFormat="1" ht="21" x14ac:dyDescent="0.35">
      <c r="B204" s="232"/>
      <c r="C204" s="199"/>
      <c r="D204" s="199"/>
      <c r="E204" s="199"/>
      <c r="F204" s="199"/>
      <c r="G204" s="199"/>
      <c r="H204" s="199"/>
      <c r="I204" s="199"/>
      <c r="J204" s="199"/>
      <c r="K204" s="199"/>
      <c r="L204" s="199"/>
      <c r="M204" s="199"/>
      <c r="N204" s="199"/>
      <c r="O204" s="199"/>
      <c r="P204" s="199"/>
      <c r="Q204" s="199"/>
      <c r="R204" s="199"/>
      <c r="S204" s="199"/>
      <c r="T204" s="199"/>
      <c r="U204" s="199"/>
      <c r="V204" s="199"/>
      <c r="W204" s="199"/>
      <c r="X204" s="199"/>
      <c r="Y204" s="199"/>
      <c r="Z204" s="199"/>
      <c r="AA204" s="199"/>
      <c r="AB204" s="199"/>
      <c r="AC204" s="199"/>
      <c r="AD204" s="199"/>
      <c r="AE204" s="199"/>
      <c r="AF204" s="199"/>
      <c r="AG204" s="199"/>
      <c r="AH204" s="199"/>
      <c r="AI204" s="199"/>
      <c r="AJ204" s="199"/>
      <c r="AK204" s="199"/>
      <c r="AL204" s="199"/>
      <c r="AM204" s="199"/>
      <c r="AN204" s="199"/>
      <c r="AO204" s="199"/>
      <c r="AP204" s="199"/>
      <c r="AQ204" s="199"/>
      <c r="AR204" s="199"/>
      <c r="AS204" s="199"/>
      <c r="AT204" s="199"/>
      <c r="AU204" s="199"/>
      <c r="AV204" s="199"/>
      <c r="AW204" s="199"/>
      <c r="AX204" s="199"/>
      <c r="AY204" s="199"/>
      <c r="AZ204" s="199"/>
      <c r="BA204" s="199"/>
      <c r="BB204" s="199"/>
      <c r="BC204" s="199"/>
      <c r="BD204" s="199"/>
      <c r="BE204" s="199"/>
      <c r="BF204" s="199"/>
      <c r="BG204" s="199"/>
      <c r="BH204" s="199"/>
      <c r="BI204" s="199"/>
      <c r="BJ204" s="199"/>
      <c r="BK204" s="199"/>
      <c r="BL204" s="199"/>
      <c r="BM204" s="199"/>
      <c r="BN204" s="199"/>
      <c r="BO204" s="199"/>
      <c r="BP204" s="199"/>
      <c r="BQ204" s="233"/>
      <c r="BR204" s="233"/>
    </row>
    <row r="205" spans="1:72" x14ac:dyDescent="0.25">
      <c r="C205" s="234"/>
      <c r="D205" s="234"/>
      <c r="E205" s="234"/>
      <c r="BJ205" s="1"/>
      <c r="BK205" s="1"/>
      <c r="BL205" s="1"/>
    </row>
    <row r="206" spans="1:72" x14ac:dyDescent="0.25">
      <c r="BJ206" s="1"/>
      <c r="BK206" s="1"/>
      <c r="BL206" s="1"/>
    </row>
    <row r="207" spans="1:72" x14ac:dyDescent="0.25">
      <c r="BJ207" s="1"/>
      <c r="BK207" s="1"/>
      <c r="BL207" s="1"/>
    </row>
    <row r="208" spans="1:72" ht="26.25" x14ac:dyDescent="0.4">
      <c r="BJ208" s="1"/>
      <c r="BK208" s="1"/>
      <c r="BL208" s="1"/>
      <c r="BM208" s="235"/>
      <c r="BN208" s="235"/>
      <c r="BO208" s="235"/>
    </row>
    <row r="209" spans="62:67" ht="23.25" x14ac:dyDescent="0.25">
      <c r="BJ209" s="1"/>
      <c r="BK209" s="1"/>
      <c r="BL209" s="1"/>
      <c r="BM209" s="236"/>
      <c r="BN209" s="236"/>
      <c r="BO209" s="236"/>
    </row>
    <row r="210" spans="62:67" ht="21" x14ac:dyDescent="0.35">
      <c r="BJ210" s="208"/>
      <c r="BK210" s="208"/>
      <c r="BL210" s="208"/>
      <c r="BM210" s="120"/>
      <c r="BN210" s="120"/>
      <c r="BO210" s="120"/>
    </row>
    <row r="211" spans="62:67" ht="21" x14ac:dyDescent="0.35">
      <c r="BJ211" s="208"/>
      <c r="BK211" s="208"/>
      <c r="BL211" s="208"/>
      <c r="BM211" s="120"/>
      <c r="BN211" s="120"/>
      <c r="BO211" s="120"/>
    </row>
    <row r="236" spans="62:67" ht="23.25" x14ac:dyDescent="0.35">
      <c r="BJ236" s="237"/>
      <c r="BK236" s="237"/>
      <c r="BL236" s="237"/>
      <c r="BM236" s="238"/>
      <c r="BN236" s="238"/>
      <c r="BO236" s="238"/>
    </row>
  </sheetData>
  <mergeCells count="68">
    <mergeCell ref="BG5:BO5"/>
    <mergeCell ref="BG4:BO4"/>
    <mergeCell ref="V4:X4"/>
    <mergeCell ref="V7:X7"/>
    <mergeCell ref="O5:X5"/>
    <mergeCell ref="AO5:AQ5"/>
    <mergeCell ref="Y5:AN5"/>
    <mergeCell ref="R4:T4"/>
    <mergeCell ref="AI7:AK7"/>
    <mergeCell ref="Y7:AA7"/>
    <mergeCell ref="AC6:AE6"/>
    <mergeCell ref="AC7:AE7"/>
    <mergeCell ref="AF6:AH6"/>
    <mergeCell ref="BA5:BC6"/>
    <mergeCell ref="BA7:BC7"/>
    <mergeCell ref="O4:Q4"/>
    <mergeCell ref="AC4:AE4"/>
    <mergeCell ref="AF7:AH7"/>
    <mergeCell ref="AI6:AK6"/>
    <mergeCell ref="C6:E6"/>
    <mergeCell ref="O6:Q6"/>
    <mergeCell ref="C7:E7"/>
    <mergeCell ref="F7:H7"/>
    <mergeCell ref="F6:H6"/>
    <mergeCell ref="BD93:BJ93"/>
    <mergeCell ref="BD86:BJ86"/>
    <mergeCell ref="BD87:BJ87"/>
    <mergeCell ref="BD80:BJ80"/>
    <mergeCell ref="BD83:BJ83"/>
    <mergeCell ref="BD85:BJ85"/>
    <mergeCell ref="BD82:BJ82"/>
    <mergeCell ref="C69:E69"/>
    <mergeCell ref="AL7:AN7"/>
    <mergeCell ref="AO6:AQ6"/>
    <mergeCell ref="AO7:AQ7"/>
    <mergeCell ref="AL6:AN6"/>
    <mergeCell ref="AR5:AY5"/>
    <mergeCell ref="AW7:AY7"/>
    <mergeCell ref="L4:N4"/>
    <mergeCell ref="L7:N7"/>
    <mergeCell ref="AZ5:AZ6"/>
    <mergeCell ref="Y6:AA6"/>
    <mergeCell ref="O7:Q7"/>
    <mergeCell ref="V6:X6"/>
    <mergeCell ref="R7:T7"/>
    <mergeCell ref="R6:T6"/>
    <mergeCell ref="AO4:AQ4"/>
    <mergeCell ref="AR4:AY4"/>
    <mergeCell ref="AL4:AN4"/>
    <mergeCell ref="AI4:AK4"/>
    <mergeCell ref="AF4:AH4"/>
    <mergeCell ref="Y4:AA4"/>
    <mergeCell ref="BM6:BO7"/>
    <mergeCell ref="C4:K4"/>
    <mergeCell ref="C5:K5"/>
    <mergeCell ref="B6:B7"/>
    <mergeCell ref="BG6:BI7"/>
    <mergeCell ref="BJ6:BL7"/>
    <mergeCell ref="BA4:BC4"/>
    <mergeCell ref="BD5:BF6"/>
    <mergeCell ref="BD4:BF4"/>
    <mergeCell ref="BD7:BF7"/>
    <mergeCell ref="AR7:AT7"/>
    <mergeCell ref="AR6:AT6"/>
    <mergeCell ref="AW6:AY6"/>
    <mergeCell ref="I6:K6"/>
    <mergeCell ref="L5:N6"/>
    <mergeCell ref="I7:K7"/>
  </mergeCells>
  <printOptions horizontalCentered="1"/>
  <pageMargins left="0.31496062992125984" right="0.31496062992125984" top="0.55118110236220474" bottom="0.15748031496062992" header="0.31496062992125984" footer="0.31496062992125984"/>
  <pageSetup paperSize="8" scale="45" orientation="landscape" r:id="rId1"/>
  <colBreaks count="1" manualBreakCount="1">
    <brk id="34" min="3" max="60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86B47481A091FF429157B61D89A85FCB" ma:contentTypeVersion="5" ma:contentTypeDescription="Új dokumentum létrehozása." ma:contentTypeScope="" ma:versionID="f7778e0c3d3c08c54f1470d8f9ada54f">
  <xsd:schema xmlns:xsd="http://www.w3.org/2001/XMLSchema" xmlns:xs="http://www.w3.org/2001/XMLSchema" xmlns:p="http://schemas.microsoft.com/office/2006/metadata/properties" xmlns:ns3="ef4160e7-8f40-4ee1-890c-5ea3e7095957" targetNamespace="http://schemas.microsoft.com/office/2006/metadata/properties" ma:root="true" ma:fieldsID="e22bd461ba5a527187a180b928ae47ea" ns3:_="">
    <xsd:import namespace="ef4160e7-8f40-4ee1-890c-5ea3e7095957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4160e7-8f40-4ee1-890c-5ea3e7095957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10ECE9-FAE3-4F9C-8E1A-20A83FAA20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4160e7-8f40-4ee1-890c-5ea3e70959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14B00D-CA90-4DB1-AF1D-B623E5CDBC39}">
  <ds:schemaRefs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terms/"/>
    <ds:schemaRef ds:uri="ef4160e7-8f40-4ee1-890c-5ea3e7095957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7E7985B-24EE-4A5B-8C35-AD2E77C9B4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JKN 2024 év elszámoló tábla </vt:lpstr>
      <vt:lpstr>'JKN 2024 év elszámoló tábla '!Nyomtatási_cím</vt:lpstr>
      <vt:lpstr>'JKN 2024 év elszámoló tábla 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Andrási  Brigitta</dc:creator>
  <cp:lastModifiedBy>Andrási Brigitta</cp:lastModifiedBy>
  <cp:lastPrinted>2025-03-14T12:00:33Z</cp:lastPrinted>
  <dcterms:created xsi:type="dcterms:W3CDTF">2021-01-22T11:54:33Z</dcterms:created>
  <dcterms:modified xsi:type="dcterms:W3CDTF">2025-05-12T13:47:54Z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0x01010086B47481A091FF429157B61D89A85FCB</vt:lpwstr>
  </property>
</Properties>
</file>